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8680" yWindow="1695" windowWidth="24240" windowHeight="13140" activeTab="4"/>
  </bookViews>
  <sheets>
    <sheet name="Orçamento" sheetId="1" r:id="rId1"/>
    <sheet name="Ligantes" sheetId="7" r:id="rId2"/>
    <sheet name="Momentos Transporte" sheetId="3" r:id="rId3"/>
    <sheet name="ADM" sheetId="6" r:id="rId4"/>
    <sheet name="DMT" sheetId="8" r:id="rId5"/>
    <sheet name="BDI" sheetId="2" r:id="rId6"/>
    <sheet name="MOB" sheetId="4" r:id="rId7"/>
  </sheets>
  <definedNames>
    <definedName name="_____________OUT98" localSheetId="3" hidden="1">{#N/A,#N/A,TRUE,"Serviços"}</definedName>
    <definedName name="_____________OUT98" hidden="1">{#N/A,#N/A,TRUE,"Serviços"}</definedName>
    <definedName name="____________OUT98" localSheetId="3" hidden="1">{#N/A,#N/A,TRUE,"Serviços"}</definedName>
    <definedName name="____________OUT98" hidden="1">{#N/A,#N/A,TRUE,"Serviços"}</definedName>
    <definedName name="____________OUT988" localSheetId="3" hidden="1">{#N/A,#N/A,TRUE,"Serviços"}</definedName>
    <definedName name="____________OUT988" hidden="1">{#N/A,#N/A,TRUE,"Serviços"}</definedName>
    <definedName name="___________OUT98" localSheetId="3" hidden="1">{#N/A,#N/A,TRUE,"Serviços"}</definedName>
    <definedName name="___________OUT98" hidden="1">{#N/A,#N/A,TRUE,"Serviços"}</definedName>
    <definedName name="___________OUT988" localSheetId="3" hidden="1">{#N/A,#N/A,TRUE,"Serviços"}</definedName>
    <definedName name="___________OUT988" hidden="1">{#N/A,#N/A,TRUE,"Serviços"}</definedName>
    <definedName name="___________OUT9888" localSheetId="3" hidden="1">{#N/A,#N/A,TRUE,"Serviços"}</definedName>
    <definedName name="___________OUT9888" hidden="1">{#N/A,#N/A,TRUE,"Serviços"}</definedName>
    <definedName name="__________OUT98" localSheetId="3" hidden="1">{#N/A,#N/A,TRUE,"Serviços"}</definedName>
    <definedName name="__________OUT98" hidden="1">{#N/A,#N/A,TRUE,"Serviços"}</definedName>
    <definedName name="_________OUT98" localSheetId="3" hidden="1">{#N/A,#N/A,TRUE,"Serviços"}</definedName>
    <definedName name="_________OUT98" hidden="1">{#N/A,#N/A,TRUE,"Serviços"}</definedName>
    <definedName name="_________OUTT98" localSheetId="3" hidden="1">{#N/A,#N/A,TRUE,"Serviços"}</definedName>
    <definedName name="_________OUTT98" hidden="1">{#N/A,#N/A,TRUE,"Serviços"}</definedName>
    <definedName name="_________OUTT988" localSheetId="3" hidden="1">{#N/A,#N/A,TRUE,"Serviços"}</definedName>
    <definedName name="_________OUTT988" hidden="1">{#N/A,#N/A,TRUE,"Serviços"}</definedName>
    <definedName name="________OUT98" localSheetId="3" hidden="1">{#N/A,#N/A,TRUE,"Serviços"}</definedName>
    <definedName name="________OUT98" hidden="1">{#N/A,#N/A,TRUE,"Serviços"}</definedName>
    <definedName name="________OUTTT98" localSheetId="3" hidden="1">{#N/A,#N/A,TRUE,"Serviços"}</definedName>
    <definedName name="________OUTTT98" hidden="1">{#N/A,#N/A,TRUE,"Serviços"}</definedName>
    <definedName name="_______OUT98" localSheetId="3" hidden="1">{#N/A,#N/A,TRUE,"Serviços"}</definedName>
    <definedName name="_______OUT98" hidden="1">{#N/A,#N/A,TRUE,"Serviços"}</definedName>
    <definedName name="_______OUT9888" localSheetId="3" hidden="1">{#N/A,#N/A,TRUE,"Serviços"}</definedName>
    <definedName name="_______OUT9888" hidden="1">{#N/A,#N/A,TRUE,"Serviços"}</definedName>
    <definedName name="______OUT98" localSheetId="3" hidden="1">{#N/A,#N/A,TRUE,"Serviços"}</definedName>
    <definedName name="______OUT98" hidden="1">{#N/A,#N/A,TRUE,"Serviços"}</definedName>
    <definedName name="______OUTT98888" localSheetId="3" hidden="1">{#N/A,#N/A,TRUE,"Serviços"}</definedName>
    <definedName name="______OUTT98888" hidden="1">{#N/A,#N/A,TRUE,"Serviços"}</definedName>
    <definedName name="_____OUT98" localSheetId="3" hidden="1">{#N/A,#N/A,TRUE,"Serviços"}</definedName>
    <definedName name="_____OUT98" hidden="1">{#N/A,#N/A,TRUE,"Serviços"}</definedName>
    <definedName name="_____OUTTT988" localSheetId="3" hidden="1">{#N/A,#N/A,TRUE,"Serviços"}</definedName>
    <definedName name="_____OUTTT988" hidden="1">{#N/A,#N/A,TRUE,"Serviços"}</definedName>
    <definedName name="____OUT98" localSheetId="3" hidden="1">{#N/A,#N/A,TRUE,"Serviços"}</definedName>
    <definedName name="____OUT98" hidden="1">{#N/A,#N/A,TRUE,"Serviços"}</definedName>
    <definedName name="____OUTTT98" localSheetId="3" hidden="1">{#N/A,#N/A,TRUE,"Serviços"}</definedName>
    <definedName name="____OUTTT98" hidden="1">{#N/A,#N/A,TRUE,"Serviços"}</definedName>
    <definedName name="__OUT98" localSheetId="3" hidden="1">{#N/A,#N/A,TRUE,"Serviços"}</definedName>
    <definedName name="__OUT98" hidden="1">{#N/A,#N/A,TRUE,"Serviços"}</definedName>
    <definedName name="__OUT988888" localSheetId="3" hidden="1">{#N/A,#N/A,TRUE,"Serviços"}</definedName>
    <definedName name="__OUT988888" hidden="1">{#N/A,#N/A,TRUE,"Serviços"}</definedName>
    <definedName name="_Order1" hidden="1">255</definedName>
    <definedName name="_Order2" hidden="1">0</definedName>
    <definedName name="_OUT98" localSheetId="3" hidden="1">{#N/A,#N/A,TRUE,"Serviços"}</definedName>
    <definedName name="_OUT98" hidden="1">{#N/A,#N/A,TRUE,"Serviços"}</definedName>
    <definedName name="_OUTTTT9888" localSheetId="3" hidden="1">{#N/A,#N/A,TRUE,"Serviços"}</definedName>
    <definedName name="_OUTTTT9888" hidden="1">{#N/A,#N/A,TRUE,"Serviços"}</definedName>
    <definedName name="_Regression_Int" hidden="1">1</definedName>
    <definedName name="_xlnm.Print_Area" localSheetId="3">ADM!$A$1:$J$72</definedName>
    <definedName name="_xlnm.Print_Area" localSheetId="5">BDI!$B$1:$C$26</definedName>
    <definedName name="_xlnm.Print_Area" localSheetId="4">DMT!$A$1:$O$78</definedName>
    <definedName name="_xlnm.Print_Area" localSheetId="1">Ligantes!$A$1:$M$25</definedName>
    <definedName name="_xlnm.Print_Area" localSheetId="6">MOB!$B$1:$L$33</definedName>
    <definedName name="_xlnm.Print_Area" localSheetId="2">'Momentos Transporte'!$B$1:$K$15</definedName>
    <definedName name="_xlnm.Print_Area" localSheetId="0">Orçamento!$B$1:$J$42</definedName>
    <definedName name="asss" localSheetId="3" hidden="1">{#N/A,#N/A,TRUE,"Serviços"}</definedName>
    <definedName name="asss" hidden="1">{#N/A,#N/A,TRUE,"Serviços"}</definedName>
    <definedName name="CAPA" localSheetId="3" hidden="1">{#N/A,#N/A,TRUE,"Serviços"}</definedName>
    <definedName name="CAPA" hidden="1">{#N/A,#N/A,TRUE,"Serviços"}</definedName>
    <definedName name="capa1" localSheetId="3" hidden="1">{#N/A,#N/A,TRUE,"Serviços"}</definedName>
    <definedName name="capa1" hidden="1">{#N/A,#N/A,TRUE,"Serviços"}</definedName>
    <definedName name="capa11" localSheetId="3" hidden="1">{#N/A,#N/A,TRUE,"Serviços"}</definedName>
    <definedName name="capa11" hidden="1">{#N/A,#N/A,TRUE,"Serviços"}</definedName>
    <definedName name="capa22" localSheetId="3" hidden="1">{#N/A,#N/A,TRUE,"Serviços"}</definedName>
    <definedName name="capa22" hidden="1">{#N/A,#N/A,TRUE,"Serviços"}</definedName>
    <definedName name="CAPAA" localSheetId="3" hidden="1">{#N/A,#N/A,TRUE,"Serviços"}</definedName>
    <definedName name="CAPAA" hidden="1">{#N/A,#N/A,TRUE,"Serviços"}</definedName>
    <definedName name="DAER1" localSheetId="3" hidden="1">{#N/A,#N/A,TRUE,"Serviços"}</definedName>
    <definedName name="DAER1" hidden="1">{#N/A,#N/A,TRUE,"Serviços"}</definedName>
    <definedName name="DAER11" localSheetId="3" hidden="1">{#N/A,#N/A,TRUE,"Serviços"}</definedName>
    <definedName name="DAER11" hidden="1">{#N/A,#N/A,TRUE,"Serviços"}</definedName>
    <definedName name="dfgs" localSheetId="3" hidden="1">{#N/A,#N/A,TRUE,"Serviços"}</definedName>
    <definedName name="dfgs" hidden="1">{#N/A,#N/A,TRUE,"Serviços"}</definedName>
    <definedName name="dfgss" localSheetId="3" hidden="1">{#N/A,#N/A,TRUE,"Serviços"}</definedName>
    <definedName name="dfgss" hidden="1">{#N/A,#N/A,TRUE,"Serviços"}</definedName>
    <definedName name="FATURAS2002" localSheetId="3" hidden="1">{#N/A,#N/A,TRUE,"Serviços"}</definedName>
    <definedName name="FATURAS2002" hidden="1">{#N/A,#N/A,TRUE,"Serviços"}</definedName>
    <definedName name="FATURAS20022" localSheetId="3" hidden="1">{#N/A,#N/A,TRUE,"Serviços"}</definedName>
    <definedName name="FATURAS20022" hidden="1">{#N/A,#N/A,TRUE,"Serviços"}</definedName>
    <definedName name="FOLHA01" localSheetId="3" hidden="1">{#N/A,#N/A,TRUE,"Serviços"}</definedName>
    <definedName name="FOLHA01" hidden="1">{#N/A,#N/A,TRUE,"Serviços"}</definedName>
    <definedName name="FOLHA011" localSheetId="3" hidden="1">{#N/A,#N/A,TRUE,"Serviços"}</definedName>
    <definedName name="FOLHA011" hidden="1">{#N/A,#N/A,TRUE,"Serviços"}</definedName>
    <definedName name="folha1" localSheetId="3" hidden="1">{#N/A,#N/A,TRUE,"Serviços"}</definedName>
    <definedName name="folha1" hidden="1">{#N/A,#N/A,TRUE,"Serviços"}</definedName>
    <definedName name="folha11" localSheetId="3" hidden="1">{#N/A,#N/A,TRUE,"Serviços"}</definedName>
    <definedName name="folha11" hidden="1">{#N/A,#N/A,TRUE,"Serviços"}</definedName>
    <definedName name="Fresagem01" localSheetId="3" hidden="1">{#N/A,#N/A,TRUE,"Serviços"}</definedName>
    <definedName name="Fresagem01" hidden="1">{#N/A,#N/A,TRUE,"Serviços"}</definedName>
    <definedName name="Fresagem011" localSheetId="3" hidden="1">{#N/A,#N/A,TRUE,"Serviços"}</definedName>
    <definedName name="Fresagem011" hidden="1">{#N/A,#N/A,TRUE,"Serviços"}</definedName>
    <definedName name="gtryfj" localSheetId="3" hidden="1">{#N/A,#N/A,TRUE,"Serviços"}</definedName>
    <definedName name="gtryfj" hidden="1">{#N/A,#N/A,TRUE,"Serviços"}</definedName>
    <definedName name="gtryfjj" localSheetId="3" hidden="1">{#N/A,#N/A,TRUE,"Serviços"}</definedName>
    <definedName name="gtryfjj" hidden="1">{#N/A,#N/A,TRUE,"Serviços"}</definedName>
    <definedName name="JANEIRO2003" localSheetId="3" hidden="1">{#N/A,#N/A,TRUE,"Serviços"}</definedName>
    <definedName name="JANEIRO2003" hidden="1">{#N/A,#N/A,TRUE,"Serviços"}</definedName>
    <definedName name="JANEIRO20033" localSheetId="3" hidden="1">{#N/A,#N/A,TRUE,"Serviços"}</definedName>
    <definedName name="JANEIRO20033" hidden="1">{#N/A,#N/A,TRUE,"Serviços"}</definedName>
    <definedName name="lab" localSheetId="3" hidden="1">{#N/A,#N/A,TRUE,"Serviços"}</definedName>
    <definedName name="lab" hidden="1">{#N/A,#N/A,TRUE,"Serviços"}</definedName>
    <definedName name="labb" localSheetId="3" hidden="1">{#N/A,#N/A,TRUE,"Serviços"}</definedName>
    <definedName name="labb" hidden="1">{#N/A,#N/A,TRUE,"Serviços"}</definedName>
    <definedName name="orçamrest" localSheetId="3" hidden="1">{#N/A,#N/A,TRUE,"Serviços"}</definedName>
    <definedName name="orçamrest" hidden="1">{#N/A,#N/A,TRUE,"Serviços"}</definedName>
    <definedName name="orçamrestt" localSheetId="3" hidden="1">{#N/A,#N/A,TRUE,"Serviços"}</definedName>
    <definedName name="orçamrestt" hidden="1">{#N/A,#N/A,TRUE,"Serviços"}</definedName>
    <definedName name="PROD_1" localSheetId="3" hidden="1">{#N/A,#N/A,TRUE,"Serviços"}</definedName>
    <definedName name="PROD_1" hidden="1">{#N/A,#N/A,TRUE,"Serviços"}</definedName>
    <definedName name="PROD_11" localSheetId="3" hidden="1">{#N/A,#N/A,TRUE,"Serviços"}</definedName>
    <definedName name="PROD_11" hidden="1">{#N/A,#N/A,TRUE,"Serviços"}</definedName>
    <definedName name="REL" localSheetId="3" hidden="1">{#N/A,#N/A,TRUE,"Serviços"}</definedName>
    <definedName name="REL" hidden="1">{#N/A,#N/A,TRUE,"Serviços"}</definedName>
    <definedName name="RELL" localSheetId="3" hidden="1">{#N/A,#N/A,TRUE,"Serviços"}</definedName>
    <definedName name="RELL" hidden="1">{#N/A,#N/A,TRUE,"Serviços"}</definedName>
    <definedName name="rrff" localSheetId="3" hidden="1">{#N/A,#N/A,TRUE,"Serviços"}</definedName>
    <definedName name="rrff" hidden="1">{#N/A,#N/A,TRUE,"Serviços"}</definedName>
    <definedName name="rrfff" localSheetId="3" hidden="1">{#N/A,#N/A,TRUE,"Serviços"}</definedName>
    <definedName name="rrfff" hidden="1">{#N/A,#N/A,TRUE,"Serviços"}</definedName>
    <definedName name="rrr" localSheetId="3" hidden="1">{#N/A,#N/A,TRUE,"Serviços"}</definedName>
    <definedName name="rrr" hidden="1">{#N/A,#N/A,TRUE,"Serviços"}</definedName>
    <definedName name="sasda" localSheetId="3" hidden="1">{#N/A,#N/A,TRUE,"Serviços"}</definedName>
    <definedName name="sasda" hidden="1">{#N/A,#N/A,TRUE,"Serviços"}</definedName>
    <definedName name="sasdaa" localSheetId="3" hidden="1">{#N/A,#N/A,TRUE,"Serviços"}</definedName>
    <definedName name="sasdaa" hidden="1">{#N/A,#N/A,TRUE,"Serviços"}</definedName>
    <definedName name="SETEMBRO" localSheetId="3" hidden="1">{#N/A,#N/A,TRUE,"Serviços"}</definedName>
    <definedName name="SETEMBRO" hidden="1">{#N/A,#N/A,TRUE,"Serviços"}</definedName>
    <definedName name="SETEMBROO" localSheetId="3" hidden="1">{#N/A,#N/A,TRUE,"Serviços"}</definedName>
    <definedName name="SETEMBROO" hidden="1">{#N/A,#N/A,TRUE,"Serviços"}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_xlnm.Print_Titles" localSheetId="3">ADM!$A:$J,ADM!$1:$6</definedName>
    <definedName name="_xlnm.Print_Titles" localSheetId="4">DMT!$A:$K,DMT!$1:$4</definedName>
    <definedName name="_xlnm.Print_Titles" localSheetId="0">Orçamento!$B:$I,Orçamento!$1:$6</definedName>
    <definedName name="TYUIO" localSheetId="3" hidden="1">{#N/A,#N/A,TRUE,"Serviços"}</definedName>
    <definedName name="TYUIO" hidden="1">{#N/A,#N/A,TRUE,"Serviços"}</definedName>
    <definedName name="TYUIOO" localSheetId="3" hidden="1">{#N/A,#N/A,TRUE,"Serviços"}</definedName>
    <definedName name="TYUIOO" hidden="1">{#N/A,#N/A,TRUE,"Serviços"}</definedName>
    <definedName name="wrn.Tipo." localSheetId="3" hidden="1">{#N/A,#N/A,TRUE,"Serviços"}</definedName>
    <definedName name="wrn.Tipo." hidden="1">{#N/A,#N/A,TRUE,"Serviços"}</definedName>
    <definedName name="wrn.Tipo.." localSheetId="3" hidden="1">{#N/A,#N/A,TRUE,"Serviços"}</definedName>
    <definedName name="wrn.Tipo.." hidden="1">{#N/A,#N/A,TRUE,"Serviços"}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" l="1"/>
  <c r="E15" i="1"/>
  <c r="O78" i="8" l="1"/>
  <c r="J10" i="3" s="1"/>
  <c r="N78" i="8"/>
  <c r="J14" i="3" s="1"/>
  <c r="M78" i="8"/>
  <c r="J9" i="3" s="1"/>
  <c r="L78" i="8"/>
  <c r="J13" i="3" s="1"/>
  <c r="O75" i="8"/>
  <c r="O77" i="8" s="1"/>
  <c r="N75" i="8"/>
  <c r="N77" i="8" s="1"/>
  <c r="M75" i="8"/>
  <c r="M77" i="8" s="1"/>
  <c r="L75" i="8"/>
  <c r="L77" i="8" s="1"/>
  <c r="K75" i="8"/>
  <c r="K77" i="8" s="1"/>
  <c r="H74" i="8"/>
  <c r="J74" i="8" s="1"/>
  <c r="H73" i="8"/>
  <c r="J73" i="8" s="1"/>
  <c r="H72" i="8"/>
  <c r="J72" i="8" s="1"/>
  <c r="H71" i="8"/>
  <c r="J71" i="8" s="1"/>
  <c r="H70" i="8"/>
  <c r="J70" i="8" s="1"/>
  <c r="H69" i="8"/>
  <c r="J69" i="8" s="1"/>
  <c r="H68" i="8"/>
  <c r="J68" i="8" s="1"/>
  <c r="H67" i="8"/>
  <c r="J67" i="8" s="1"/>
  <c r="H66" i="8"/>
  <c r="J66" i="8" s="1"/>
  <c r="H65" i="8"/>
  <c r="J65" i="8" s="1"/>
  <c r="H64" i="8"/>
  <c r="J64" i="8" s="1"/>
  <c r="H63" i="8"/>
  <c r="J63" i="8" s="1"/>
  <c r="H62" i="8"/>
  <c r="J62" i="8" s="1"/>
  <c r="H61" i="8"/>
  <c r="J61" i="8" s="1"/>
  <c r="H60" i="8"/>
  <c r="J60" i="8" s="1"/>
  <c r="J59" i="8"/>
  <c r="H59" i="8"/>
  <c r="H58" i="8"/>
  <c r="J58" i="8" s="1"/>
  <c r="H57" i="8"/>
  <c r="J57" i="8" s="1"/>
  <c r="H56" i="8"/>
  <c r="J56" i="8" s="1"/>
  <c r="H55" i="8"/>
  <c r="J55" i="8" s="1"/>
  <c r="H54" i="8"/>
  <c r="J54" i="8" s="1"/>
  <c r="H53" i="8"/>
  <c r="J53" i="8" s="1"/>
  <c r="H52" i="8"/>
  <c r="J52" i="8" s="1"/>
  <c r="H51" i="8"/>
  <c r="J51" i="8" s="1"/>
  <c r="H50" i="8"/>
  <c r="J50" i="8" s="1"/>
  <c r="H49" i="8"/>
  <c r="J49" i="8" s="1"/>
  <c r="H48" i="8"/>
  <c r="J48" i="8" s="1"/>
  <c r="H47" i="8"/>
  <c r="J47" i="8" s="1"/>
  <c r="H46" i="8"/>
  <c r="J46" i="8" s="1"/>
  <c r="H45" i="8"/>
  <c r="J45" i="8" s="1"/>
  <c r="H44" i="8"/>
  <c r="J44" i="8" s="1"/>
  <c r="H43" i="8"/>
  <c r="J43" i="8" s="1"/>
  <c r="H42" i="8"/>
  <c r="J42" i="8" s="1"/>
  <c r="H41" i="8"/>
  <c r="J41" i="8" s="1"/>
  <c r="H40" i="8"/>
  <c r="J40" i="8" s="1"/>
  <c r="H39" i="8"/>
  <c r="J39" i="8" s="1"/>
  <c r="H38" i="8"/>
  <c r="J38" i="8" s="1"/>
  <c r="H37" i="8"/>
  <c r="J37" i="8" s="1"/>
  <c r="H36" i="8"/>
  <c r="J36" i="8" s="1"/>
  <c r="H35" i="8"/>
  <c r="J35" i="8" s="1"/>
  <c r="H34" i="8"/>
  <c r="J34" i="8" s="1"/>
  <c r="H33" i="8"/>
  <c r="J33" i="8" s="1"/>
  <c r="H32" i="8"/>
  <c r="J32" i="8" s="1"/>
  <c r="H31" i="8"/>
  <c r="J31" i="8" s="1"/>
  <c r="H30" i="8"/>
  <c r="J30" i="8" s="1"/>
  <c r="H29" i="8"/>
  <c r="J29" i="8" s="1"/>
  <c r="H28" i="8"/>
  <c r="J28" i="8" s="1"/>
  <c r="J27" i="8"/>
  <c r="H27" i="8"/>
  <c r="H26" i="8"/>
  <c r="J26" i="8" s="1"/>
  <c r="H25" i="8"/>
  <c r="J25" i="8" s="1"/>
  <c r="H24" i="8"/>
  <c r="J24" i="8" s="1"/>
  <c r="H23" i="8"/>
  <c r="J23" i="8" s="1"/>
  <c r="H22" i="8"/>
  <c r="J22" i="8" s="1"/>
  <c r="H21" i="8"/>
  <c r="J21" i="8" s="1"/>
  <c r="H20" i="8"/>
  <c r="J20" i="8" s="1"/>
  <c r="H19" i="8"/>
  <c r="J19" i="8" s="1"/>
  <c r="H18" i="8"/>
  <c r="J18" i="8" s="1"/>
  <c r="H17" i="8"/>
  <c r="J17" i="8" s="1"/>
  <c r="H16" i="8"/>
  <c r="J16" i="8" s="1"/>
  <c r="H15" i="8"/>
  <c r="J15" i="8" s="1"/>
  <c r="H14" i="8"/>
  <c r="J14" i="8" s="1"/>
  <c r="H13" i="8"/>
  <c r="J13" i="8" s="1"/>
  <c r="H12" i="8"/>
  <c r="J12" i="8" s="1"/>
  <c r="H11" i="8"/>
  <c r="J11" i="8" s="1"/>
  <c r="H10" i="8"/>
  <c r="J10" i="8" s="1"/>
  <c r="H9" i="8"/>
  <c r="J9" i="8" s="1"/>
  <c r="H8" i="8"/>
  <c r="J8" i="8" s="1"/>
  <c r="H7" i="8"/>
  <c r="J7" i="8" s="1"/>
  <c r="H6" i="8"/>
  <c r="J6" i="8" s="1"/>
  <c r="E22" i="1"/>
  <c r="E23" i="1" s="1"/>
  <c r="E21" i="1"/>
  <c r="E13" i="1"/>
  <c r="E11" i="1"/>
  <c r="F23" i="7"/>
  <c r="F24" i="7"/>
  <c r="F22" i="7"/>
  <c r="H75" i="8" l="1"/>
  <c r="H77" i="8"/>
  <c r="L2" i="7"/>
  <c r="I2" i="1"/>
  <c r="C21" i="2"/>
  <c r="C20" i="2"/>
  <c r="C5" i="3" l="1"/>
  <c r="B5" i="7"/>
  <c r="D12" i="6" l="1"/>
  <c r="D13" i="3" l="1"/>
  <c r="D9" i="3"/>
  <c r="G15" i="1" l="1"/>
  <c r="G13" i="1"/>
  <c r="G21" i="1"/>
  <c r="H22" i="1"/>
  <c r="D10" i="3" l="1"/>
  <c r="I10" i="3" s="1"/>
  <c r="D14" i="3"/>
  <c r="I14" i="3" s="1"/>
  <c r="I22" i="1"/>
  <c r="B3" i="2" l="1"/>
  <c r="E5" i="4"/>
  <c r="D5" i="6"/>
  <c r="I9" i="3" l="1"/>
  <c r="C11" i="7"/>
  <c r="D11" i="7" s="1"/>
  <c r="E11" i="7" l="1"/>
  <c r="D69" i="6" l="1"/>
  <c r="J23" i="7"/>
  <c r="L23" i="7" s="1"/>
  <c r="J24" i="7"/>
  <c r="L24" i="7" s="1"/>
  <c r="J22" i="7"/>
  <c r="L22" i="7" s="1"/>
  <c r="M23" i="7" l="1"/>
  <c r="F21" i="1" s="1"/>
  <c r="H21" i="1" s="1"/>
  <c r="I21" i="1" s="1"/>
  <c r="M24" i="7"/>
  <c r="F13" i="1" s="1"/>
  <c r="H13" i="1" s="1"/>
  <c r="I13" i="1" s="1"/>
  <c r="M22" i="7"/>
  <c r="F15" i="1" s="1"/>
  <c r="H15" i="1" s="1"/>
  <c r="I15" i="1" s="1"/>
  <c r="F23" i="1" l="1"/>
  <c r="H23" i="1" s="1"/>
  <c r="I23" i="1" s="1"/>
  <c r="F25" i="1"/>
  <c r="G20" i="1" l="1"/>
  <c r="H20" i="1" s="1"/>
  <c r="I20" i="1" s="1"/>
  <c r="G14" i="1"/>
  <c r="H14" i="1" s="1"/>
  <c r="I14" i="1" s="1"/>
  <c r="G12" i="1"/>
  <c r="H12" i="1" s="1"/>
  <c r="I12" i="1" s="1"/>
  <c r="G11" i="1"/>
  <c r="H11" i="1" s="1"/>
  <c r="I11" i="1" s="1"/>
  <c r="I14" i="4"/>
  <c r="I15" i="4" s="1"/>
  <c r="I16" i="4" s="1"/>
  <c r="I18" i="4"/>
  <c r="I17" i="4"/>
  <c r="I16" i="1" l="1"/>
  <c r="D16" i="6"/>
  <c r="D71" i="6"/>
  <c r="F71" i="6" s="1"/>
  <c r="D70" i="6"/>
  <c r="F70" i="6" s="1"/>
  <c r="F69" i="6"/>
  <c r="J61" i="6"/>
  <c r="J62" i="6" s="1"/>
  <c r="J63" i="6" s="1"/>
  <c r="E20" i="6" s="1"/>
  <c r="G55" i="6"/>
  <c r="G54" i="6"/>
  <c r="G42" i="6"/>
  <c r="G41" i="6"/>
  <c r="J35" i="6"/>
  <c r="G30" i="6"/>
  <c r="G31" i="6" s="1"/>
  <c r="H27" i="4"/>
  <c r="J27" i="4" s="1"/>
  <c r="H26" i="4"/>
  <c r="J26" i="4" s="1"/>
  <c r="H25" i="4"/>
  <c r="J25" i="4" s="1"/>
  <c r="J24" i="4"/>
  <c r="L19" i="4"/>
  <c r="L18" i="4"/>
  <c r="D15" i="6" l="1"/>
  <c r="L13" i="4"/>
  <c r="L14" i="4"/>
  <c r="J28" i="4"/>
  <c r="D32" i="4" s="1"/>
  <c r="L15" i="4"/>
  <c r="L17" i="4"/>
  <c r="L16" i="4"/>
  <c r="J48" i="6"/>
  <c r="J49" i="6" s="1"/>
  <c r="E16" i="6" s="1"/>
  <c r="F16" i="6" s="1"/>
  <c r="F72" i="6"/>
  <c r="D19" i="6" s="1"/>
  <c r="D20" i="6" s="1"/>
  <c r="F20" i="6" s="1"/>
  <c r="G56" i="6"/>
  <c r="E19" i="6" s="1"/>
  <c r="J36" i="6"/>
  <c r="G43" i="6"/>
  <c r="E15" i="6" s="1"/>
  <c r="E11" i="6"/>
  <c r="F11" i="6" s="1"/>
  <c r="F15" i="6" l="1"/>
  <c r="F17" i="6" s="1"/>
  <c r="F19" i="6"/>
  <c r="F21" i="6" s="1"/>
  <c r="E12" i="6"/>
  <c r="F12" i="6" s="1"/>
  <c r="F13" i="6" s="1"/>
  <c r="L20" i="4"/>
  <c r="D31" i="4" s="1"/>
  <c r="D33" i="4" s="1"/>
  <c r="F36" i="1" s="1"/>
  <c r="F23" i="6" l="1"/>
  <c r="F24" i="6" s="1"/>
  <c r="F25" i="6" s="1"/>
  <c r="F39" i="1" s="1"/>
  <c r="I13" i="3" l="1"/>
  <c r="G25" i="1"/>
  <c r="H25" i="1" s="1"/>
  <c r="I25" i="1" s="1"/>
  <c r="G39" i="1" l="1"/>
  <c r="H39" i="1" s="1"/>
  <c r="I39" i="1" s="1"/>
  <c r="G36" i="1"/>
  <c r="G24" i="1"/>
  <c r="H24" i="1" s="1"/>
  <c r="I24" i="1" s="1"/>
  <c r="I26" i="1" s="1"/>
  <c r="G29" i="1"/>
  <c r="H29" i="1" s="1"/>
  <c r="I29" i="1" s="1"/>
  <c r="G28" i="1"/>
  <c r="H28" i="1" s="1"/>
  <c r="I28" i="1" s="1"/>
  <c r="G33" i="1"/>
  <c r="H33" i="1" s="1"/>
  <c r="G32" i="1"/>
  <c r="H32" i="1" s="1"/>
  <c r="H36" i="1" l="1"/>
  <c r="I36" i="1" s="1"/>
  <c r="I40" i="1"/>
  <c r="I30" i="1"/>
  <c r="J14" i="1" l="1"/>
  <c r="J11" i="1"/>
  <c r="J15" i="1"/>
  <c r="J13" i="1"/>
  <c r="J12" i="1"/>
  <c r="I37" i="1"/>
  <c r="K13" i="3" l="1"/>
  <c r="K10" i="3"/>
  <c r="K14" i="3"/>
  <c r="K9" i="3"/>
  <c r="K11" i="3" l="1"/>
  <c r="E32" i="1" s="1"/>
  <c r="I32" i="1" s="1"/>
  <c r="K15" i="3"/>
  <c r="E33" i="1" s="1"/>
  <c r="I33" i="1" s="1"/>
  <c r="I34" i="1" l="1"/>
  <c r="I42" i="1" s="1"/>
  <c r="J16" i="1" s="1"/>
  <c r="J42" i="1" l="1"/>
  <c r="J44" i="1" s="1"/>
  <c r="J37" i="1"/>
  <c r="I44" i="1"/>
  <c r="J26" i="1" s="1"/>
  <c r="J21" i="1" l="1"/>
  <c r="J23" i="1"/>
  <c r="J28" i="1"/>
  <c r="J36" i="1"/>
  <c r="J24" i="1"/>
  <c r="J29" i="1"/>
  <c r="J39" i="1"/>
  <c r="J22" i="1"/>
  <c r="J30" i="1"/>
  <c r="J40" i="1"/>
  <c r="J25" i="1"/>
  <c r="J20" i="1"/>
  <c r="J32" i="1"/>
  <c r="J33" i="1"/>
  <c r="J34" i="1"/>
</calcChain>
</file>

<file path=xl/sharedStrings.xml><?xml version="1.0" encoding="utf-8"?>
<sst xmlns="http://schemas.openxmlformats.org/spreadsheetml/2006/main" count="696" uniqueCount="396">
  <si>
    <t>t</t>
  </si>
  <si>
    <t>BDI</t>
  </si>
  <si>
    <t>BDI diferenciado</t>
  </si>
  <si>
    <t>CÓDIGO</t>
  </si>
  <si>
    <t>DISCRIMINAÇÃO</t>
  </si>
  <si>
    <t>UNID.</t>
  </si>
  <si>
    <t>QUANT.</t>
  </si>
  <si>
    <t>CUSTO</t>
  </si>
  <si>
    <t>PREÇO</t>
  </si>
  <si>
    <t>UNIT.</t>
  </si>
  <si>
    <t>PARCIAL</t>
  </si>
  <si>
    <t>m2</t>
  </si>
  <si>
    <t>Pintura de ligação</t>
  </si>
  <si>
    <t>A - Administração Central</t>
  </si>
  <si>
    <t>% sobre PV</t>
  </si>
  <si>
    <t>ITENS RELATIVOS À ADMINISTRAÇÃO DA OBRA</t>
  </si>
  <si>
    <t>LUCRO</t>
  </si>
  <si>
    <t>TRIBUTOS</t>
  </si>
  <si>
    <t>Total</t>
  </si>
  <si>
    <t>Subtotal</t>
  </si>
  <si>
    <t>Imprimação com emulsão asfáltica</t>
  </si>
  <si>
    <t>Data base:</t>
  </si>
  <si>
    <t>Referência:</t>
  </si>
  <si>
    <t>SICRO SC</t>
  </si>
  <si>
    <t>Município:</t>
  </si>
  <si>
    <t>Obra:</t>
  </si>
  <si>
    <t>Porto União/SC</t>
  </si>
  <si>
    <t>Transporte com caminhão basculante de 10 m³ - rodovia pavimentada</t>
  </si>
  <si>
    <t>tkm</t>
  </si>
  <si>
    <t>SERVIÇO</t>
  </si>
  <si>
    <t>MATERIAL</t>
  </si>
  <si>
    <t>F ÚTIL</t>
  </si>
  <si>
    <t>DENSIDADE</t>
  </si>
  <si>
    <t>PESO TOTAL</t>
  </si>
  <si>
    <t>DMT</t>
  </si>
  <si>
    <t>MOM. TRANSPORTE</t>
  </si>
  <si>
    <t>CBUQ</t>
  </si>
  <si>
    <t>Transporte com caminhão basculante de 10 m³ - rodovia em leito natural</t>
  </si>
  <si>
    <t>MOB01</t>
  </si>
  <si>
    <t>Mobilização/Desmobilização</t>
  </si>
  <si>
    <t>und.</t>
  </si>
  <si>
    <t>ADM</t>
  </si>
  <si>
    <t>Administração Local</t>
  </si>
  <si>
    <t>%</t>
  </si>
  <si>
    <t>TOTAL</t>
  </si>
  <si>
    <t>MOB01 - MOBILIZAÇÃO / DESMOBILIZAÇÃO</t>
  </si>
  <si>
    <r>
      <rPr>
        <b/>
        <sz val="8"/>
        <rFont val="Calibri"/>
        <family val="2"/>
      </rPr>
      <t xml:space="preserve">Distância do Canteiro a
</t>
    </r>
    <r>
      <rPr>
        <b/>
        <sz val="8"/>
        <rFont val="Calibri"/>
        <family val="2"/>
      </rPr>
      <t>Capital:</t>
    </r>
  </si>
  <si>
    <t>442 km</t>
  </si>
  <si>
    <r>
      <rPr>
        <b/>
        <sz val="8"/>
        <rFont val="Calibri"/>
        <family val="2"/>
      </rPr>
      <t xml:space="preserve">Velocidade média de
</t>
    </r>
    <r>
      <rPr>
        <b/>
        <sz val="8"/>
        <rFont val="Calibri"/>
        <family val="2"/>
      </rPr>
      <t>transporte (pavim.):</t>
    </r>
  </si>
  <si>
    <r>
      <rPr>
        <b/>
        <sz val="8"/>
        <rFont val="Calibri"/>
        <family val="2"/>
      </rPr>
      <t>60 km/h</t>
    </r>
  </si>
  <si>
    <t>Transporte dos equipamentos</t>
  </si>
  <si>
    <t>EQUIPAMENTO</t>
  </si>
  <si>
    <t>K</t>
  </si>
  <si>
    <t>FU</t>
  </si>
  <si>
    <t>CUSTO DO TRANSPORTE</t>
  </si>
  <si>
    <t>(R$/h)</t>
  </si>
  <si>
    <t>(R$)</t>
  </si>
  <si>
    <r>
      <rPr>
        <sz val="8"/>
        <rFont val="Calibri"/>
        <family val="2"/>
      </rPr>
      <t>E9762</t>
    </r>
  </si>
  <si>
    <r>
      <rPr>
        <sz val="8"/>
        <rFont val="Calibri"/>
        <family val="2"/>
      </rPr>
      <t>Rolo compactador de pneus 27t</t>
    </r>
  </si>
  <si>
    <r>
      <rPr>
        <sz val="8"/>
        <rFont val="Calibri"/>
        <family val="2"/>
      </rPr>
      <t>E9530</t>
    </r>
  </si>
  <si>
    <r>
      <rPr>
        <sz val="8"/>
        <rFont val="Calibri"/>
        <family val="2"/>
      </rPr>
      <t>Rolo compactador liso 11t vibratório</t>
    </r>
  </si>
  <si>
    <r>
      <rPr>
        <sz val="8"/>
        <rFont val="Calibri"/>
        <family val="2"/>
      </rPr>
      <t>E9678</t>
    </r>
  </si>
  <si>
    <r>
      <rPr>
        <sz val="8"/>
        <rFont val="Calibri"/>
        <family val="2"/>
      </rPr>
      <t>Fresadora a frio 410 kW</t>
    </r>
  </si>
  <si>
    <r>
      <rPr>
        <sz val="8"/>
        <rFont val="Calibri"/>
        <family val="2"/>
      </rPr>
      <t>E9545</t>
    </r>
  </si>
  <si>
    <r>
      <rPr>
        <sz val="8"/>
        <rFont val="Calibri"/>
        <family val="2"/>
      </rPr>
      <t>Vibroacabadora 82 kW</t>
    </r>
  </si>
  <si>
    <r>
      <rPr>
        <sz val="8"/>
        <rFont val="Calibri"/>
        <family val="2"/>
      </rPr>
      <t>E9093</t>
    </r>
  </si>
  <si>
    <r>
      <rPr>
        <sz val="8"/>
        <rFont val="Calibri"/>
        <family val="2"/>
      </rPr>
      <t>Veículo Leve</t>
    </r>
  </si>
  <si>
    <r>
      <rPr>
        <sz val="8"/>
        <rFont val="Calibri"/>
        <family val="2"/>
      </rPr>
      <t>E9125</t>
    </r>
  </si>
  <si>
    <r>
      <rPr>
        <sz val="8"/>
        <rFont val="Calibri"/>
        <family val="2"/>
      </rPr>
      <t>Van Furgão a Diesel</t>
    </r>
  </si>
  <si>
    <r>
      <rPr>
        <sz val="8"/>
        <rFont val="Calibri"/>
        <family val="2"/>
      </rPr>
      <t>E9605</t>
    </r>
  </si>
  <si>
    <r>
      <rPr>
        <sz val="8"/>
        <rFont val="Calibri"/>
        <family val="2"/>
      </rPr>
      <t>Caminhão tanque com capacidade de 6.000 L - 136 kW</t>
    </r>
  </si>
  <si>
    <r>
      <rPr>
        <b/>
        <sz val="8"/>
        <rFont val="Calibri"/>
        <family val="2"/>
      </rPr>
      <t>TOTAL</t>
    </r>
  </si>
  <si>
    <t>OBS:  Para  o  transporte dos  equipamentos  de  grande  porte, impossibilitados  de  trafegar,  foi  considerada  a  utilização  do  veículo  E9665  -  Cavalo mecânico com semi-reboque e capacidade de 22 t - 210 kW.
mecânico com semi-reboque e capacidade de 22 t - 210 kW.</t>
  </si>
  <si>
    <r>
      <rPr>
        <b/>
        <sz val="8"/>
        <rFont val="Calibri"/>
        <family val="2"/>
      </rPr>
      <t>CÓDIGO</t>
    </r>
  </si>
  <si>
    <r>
      <rPr>
        <b/>
        <sz val="8"/>
        <rFont val="Calibri"/>
        <family val="2"/>
      </rPr>
      <t>FUNÇÃO</t>
    </r>
  </si>
  <si>
    <r>
      <rPr>
        <b/>
        <sz val="8"/>
        <rFont val="Calibri"/>
        <family val="2"/>
      </rPr>
      <t>QUANTIDADE</t>
    </r>
  </si>
  <si>
    <r>
      <rPr>
        <b/>
        <sz val="8"/>
        <rFont val="Calibri"/>
        <family val="2"/>
      </rPr>
      <t>MEIO</t>
    </r>
  </si>
  <si>
    <r>
      <rPr>
        <b/>
        <sz val="8"/>
        <rFont val="Calibri"/>
        <family val="2"/>
      </rPr>
      <t>PREÇO</t>
    </r>
  </si>
  <si>
    <r>
      <rPr>
        <sz val="8"/>
        <rFont val="Calibri"/>
        <family val="2"/>
      </rPr>
      <t>1</t>
    </r>
  </si>
  <si>
    <r>
      <rPr>
        <sz val="8"/>
        <rFont val="Calibri"/>
        <family val="2"/>
      </rPr>
      <t>Engenheiro supervisor</t>
    </r>
  </si>
  <si>
    <r>
      <rPr>
        <sz val="8"/>
        <rFont val="Calibri"/>
        <family val="2"/>
      </rPr>
      <t>Ônibus</t>
    </r>
  </si>
  <si>
    <r>
      <rPr>
        <sz val="8"/>
        <rFont val="Calibri"/>
        <family val="2"/>
      </rPr>
      <t>2</t>
    </r>
  </si>
  <si>
    <r>
      <rPr>
        <sz val="8"/>
        <rFont val="Calibri"/>
        <family val="2"/>
      </rPr>
      <t>3</t>
    </r>
  </si>
  <si>
    <r>
      <rPr>
        <sz val="8"/>
        <rFont val="Calibri"/>
        <family val="2"/>
      </rPr>
      <t>Laboratorista</t>
    </r>
  </si>
  <si>
    <r>
      <rPr>
        <sz val="8"/>
        <rFont val="Calibri"/>
        <family val="2"/>
      </rPr>
      <t>Auxiliar de laboratório</t>
    </r>
  </si>
  <si>
    <r>
      <rPr>
        <b/>
        <sz val="8"/>
        <rFont val="Calibri"/>
        <family val="2"/>
      </rPr>
      <t>DESCRIÇÃO</t>
    </r>
  </si>
  <si>
    <r>
      <rPr>
        <b/>
        <sz val="8"/>
        <rFont val="Calibri"/>
        <family val="2"/>
      </rPr>
      <t>VALOR</t>
    </r>
  </si>
  <si>
    <r>
      <rPr>
        <sz val="8"/>
        <rFont val="Calibri"/>
        <family val="2"/>
      </rPr>
      <t>TRANSPORTE EQUIPAMENTOS</t>
    </r>
  </si>
  <si>
    <r>
      <rPr>
        <sz val="8"/>
        <rFont val="Calibri"/>
        <family val="2"/>
      </rPr>
      <t>TRANSPORTE FUNCIONÁRIOS</t>
    </r>
  </si>
  <si>
    <r>
      <rPr>
        <b/>
        <sz val="8.5"/>
        <color rgb="FFFFFFFF"/>
        <rFont val="Trebuchet MS"/>
        <family val="2"/>
      </rPr>
      <t>RESUMO DAS PARCELAS DA ADMINISTRAÇÃO LOCAL</t>
    </r>
  </si>
  <si>
    <r>
      <rPr>
        <b/>
        <sz val="6.5"/>
        <color rgb="FFFFFFFF"/>
        <rFont val="Arial"/>
        <family val="2"/>
      </rPr>
      <t>Item</t>
    </r>
  </si>
  <si>
    <r>
      <rPr>
        <b/>
        <sz val="6.5"/>
        <color rgb="FFFFFFFF"/>
        <rFont val="Arial"/>
        <family val="2"/>
      </rPr>
      <t>Discriminação</t>
    </r>
  </si>
  <si>
    <r>
      <rPr>
        <b/>
        <sz val="6.5"/>
        <color rgb="FFFFFFFF"/>
        <rFont val="Arial"/>
        <family val="2"/>
      </rPr>
      <t>Unidade</t>
    </r>
  </si>
  <si>
    <r>
      <rPr>
        <b/>
        <sz val="6.5"/>
        <color rgb="FFFFFFFF"/>
        <rFont val="Arial"/>
        <family val="2"/>
      </rPr>
      <t>Quantidade</t>
    </r>
  </si>
  <si>
    <r>
      <rPr>
        <b/>
        <sz val="6.5"/>
        <color rgb="FFFFFFFF"/>
        <rFont val="Arial"/>
        <family val="2"/>
      </rPr>
      <t>Custo Unitário (R$)</t>
    </r>
  </si>
  <si>
    <r>
      <rPr>
        <b/>
        <sz val="6.5"/>
        <color rgb="FFFFFFFF"/>
        <rFont val="Arial"/>
        <family val="2"/>
      </rPr>
      <t>Custo Total (R$)</t>
    </r>
  </si>
  <si>
    <r>
      <rPr>
        <sz val="6.5"/>
        <color rgb="FF211E1F"/>
        <rFont val="Arial"/>
        <family val="2"/>
      </rPr>
      <t>1.1.</t>
    </r>
  </si>
  <si>
    <r>
      <rPr>
        <sz val="6.5"/>
        <color rgb="FF211E1F"/>
        <rFont val="Arial"/>
        <family val="2"/>
      </rPr>
      <t>Mão de Obra</t>
    </r>
  </si>
  <si>
    <r>
      <rPr>
        <sz val="6.5"/>
        <color rgb="FF211E1F"/>
        <rFont val="Arial"/>
        <family val="2"/>
      </rPr>
      <t>mês</t>
    </r>
  </si>
  <si>
    <r>
      <rPr>
        <sz val="6.5"/>
        <color rgb="FF211E1F"/>
        <rFont val="Arial"/>
        <family val="2"/>
      </rPr>
      <t>1.2.</t>
    </r>
  </si>
  <si>
    <r>
      <rPr>
        <sz val="6.5"/>
        <color rgb="FF211E1F"/>
        <rFont val="Arial"/>
        <family val="2"/>
      </rPr>
      <t>Veículos</t>
    </r>
  </si>
  <si>
    <r>
      <rPr>
        <b/>
        <sz val="6.5"/>
        <color rgb="FF211E1F"/>
        <rFont val="Arial"/>
        <family val="2"/>
      </rPr>
      <t>Subtotal Item 1</t>
    </r>
  </si>
  <si>
    <r>
      <rPr>
        <sz val="6.5"/>
        <color rgb="FF211E1F"/>
        <rFont val="Arial"/>
        <family val="2"/>
      </rPr>
      <t>2.1.</t>
    </r>
  </si>
  <si>
    <r>
      <rPr>
        <b/>
        <sz val="6.5"/>
        <color rgb="FF211E1F"/>
        <rFont val="Arial"/>
        <family val="2"/>
      </rPr>
      <t>Subtotal Item 2</t>
    </r>
  </si>
  <si>
    <r>
      <rPr>
        <sz val="6.5"/>
        <color rgb="FF211E1F"/>
        <rFont val="Arial"/>
        <family val="2"/>
      </rPr>
      <t>3.1.</t>
    </r>
  </si>
  <si>
    <r>
      <rPr>
        <b/>
        <sz val="6.5"/>
        <color rgb="FF211E1F"/>
        <rFont val="Arial"/>
        <family val="2"/>
      </rPr>
      <t>Subtotal Item 3</t>
    </r>
  </si>
  <si>
    <r>
      <rPr>
        <b/>
        <sz val="6.5"/>
        <color rgb="FF211E1F"/>
        <rFont val="Arial"/>
        <family val="2"/>
      </rPr>
      <t>Subtotal</t>
    </r>
  </si>
  <si>
    <r>
      <rPr>
        <b/>
        <sz val="6.5"/>
        <rFont val="Arial"/>
        <family val="2"/>
      </rPr>
      <t>Despesas diversas</t>
    </r>
  </si>
  <si>
    <r>
      <rPr>
        <sz val="6.5"/>
        <color rgb="FF211E1F"/>
        <rFont val="Arial"/>
        <family val="2"/>
      </rPr>
      <t>%</t>
    </r>
  </si>
  <si>
    <t>CUSTO TOTAL</t>
  </si>
  <si>
    <r>
      <rPr>
        <b/>
        <sz val="8"/>
        <color rgb="FFFFFFFF"/>
        <rFont val="Times New Roman"/>
        <family val="1"/>
      </rPr>
      <t>PARCELA FIXA - ADMINISTRAÇÃO LOCAL</t>
    </r>
  </si>
  <si>
    <r>
      <rPr>
        <b/>
        <sz val="8"/>
        <color rgb="FFFFFFFF"/>
        <rFont val="Times New Roman"/>
        <family val="1"/>
      </rPr>
      <t>Item</t>
    </r>
  </si>
  <si>
    <r>
      <rPr>
        <b/>
        <sz val="8"/>
        <color rgb="FFFFFFFF"/>
        <rFont val="Times New Roman"/>
        <family val="1"/>
      </rPr>
      <t>Discriminação</t>
    </r>
  </si>
  <si>
    <r>
      <rPr>
        <b/>
        <sz val="8"/>
        <color rgb="FFFFFFFF"/>
        <rFont val="Times New Roman"/>
        <family val="1"/>
      </rPr>
      <t>Código</t>
    </r>
  </si>
  <si>
    <r>
      <rPr>
        <b/>
        <sz val="8"/>
        <color rgb="FFFFFFFF"/>
        <rFont val="Times New Roman"/>
        <family val="1"/>
      </rPr>
      <t>Unidade</t>
    </r>
  </si>
  <si>
    <r>
      <rPr>
        <b/>
        <sz val="8"/>
        <color rgb="FFFFFFFF"/>
        <rFont val="Times New Roman"/>
        <family val="1"/>
      </rPr>
      <t>Quantidade</t>
    </r>
  </si>
  <si>
    <r>
      <rPr>
        <b/>
        <sz val="8"/>
        <color rgb="FFFFFFFF"/>
        <rFont val="Times New Roman"/>
        <family val="1"/>
      </rPr>
      <t>Custo Unitário (R$)</t>
    </r>
  </si>
  <si>
    <r>
      <rPr>
        <b/>
        <sz val="8"/>
        <color rgb="FFFFFFFF"/>
        <rFont val="Times New Roman"/>
        <family val="1"/>
      </rPr>
      <t>Custo Total (R$)</t>
    </r>
  </si>
  <si>
    <r>
      <rPr>
        <sz val="8"/>
        <color rgb="FF211E1F"/>
        <rFont val="Times New Roman"/>
        <family val="1"/>
      </rPr>
      <t>Mão de Obra</t>
    </r>
  </si>
  <si>
    <t>1.1.1</t>
  </si>
  <si>
    <r>
      <rPr>
        <sz val="8"/>
        <color rgb="FF211E1F"/>
        <rFont val="Times New Roman"/>
        <family val="1"/>
      </rPr>
      <t>Engenheiro supervisor</t>
    </r>
  </si>
  <si>
    <r>
      <rPr>
        <sz val="8"/>
        <color rgb="FF211E1F"/>
        <rFont val="Times New Roman"/>
        <family val="1"/>
      </rPr>
      <t>P9812</t>
    </r>
  </si>
  <si>
    <r>
      <rPr>
        <sz val="8"/>
        <color rgb="FF211E1F"/>
        <rFont val="Times New Roman"/>
        <family val="1"/>
      </rPr>
      <t>func./mês</t>
    </r>
  </si>
  <si>
    <r>
      <rPr>
        <b/>
        <sz val="8"/>
        <color rgb="FF211E1F"/>
        <rFont val="Times New Roman"/>
        <family val="1"/>
      </rPr>
      <t>Total da Mão de Obra da Parcela Fixa</t>
    </r>
  </si>
  <si>
    <r>
      <rPr>
        <b/>
        <sz val="8"/>
        <color rgb="FFFFFFFF"/>
        <rFont val="Times New Roman"/>
        <family val="1"/>
      </rPr>
      <t>Und</t>
    </r>
  </si>
  <si>
    <r>
      <rPr>
        <b/>
        <sz val="8"/>
        <color rgb="FFFFFFFF"/>
        <rFont val="Times New Roman"/>
        <family val="1"/>
      </rPr>
      <t>Quant</t>
    </r>
  </si>
  <si>
    <r>
      <rPr>
        <b/>
        <sz val="8"/>
        <color rgb="FFFFFFFF"/>
        <rFont val="Times New Roman"/>
        <family val="1"/>
      </rPr>
      <t>Utilização Produtiva</t>
    </r>
  </si>
  <si>
    <r>
      <rPr>
        <b/>
        <sz val="8"/>
        <color rgb="FFFFFFFF"/>
        <rFont val="Times New Roman"/>
        <family val="1"/>
      </rPr>
      <t>Utilização Improdutiva</t>
    </r>
  </si>
  <si>
    <r>
      <rPr>
        <b/>
        <sz val="8"/>
        <color rgb="FFFFFFFF"/>
        <rFont val="Times New Roman"/>
        <family val="1"/>
      </rPr>
      <t>Horário Produtivo
(R$)</t>
    </r>
  </si>
  <si>
    <r>
      <rPr>
        <b/>
        <sz val="8"/>
        <color rgb="FFFFFFFF"/>
        <rFont val="Times New Roman"/>
        <family val="1"/>
      </rPr>
      <t>Horário Improdutivo (R$)</t>
    </r>
  </si>
  <si>
    <r>
      <rPr>
        <b/>
        <sz val="8"/>
        <color rgb="FFFFFFFF"/>
        <rFont val="Times New Roman"/>
        <family val="1"/>
      </rPr>
      <t>Total (R$)</t>
    </r>
  </si>
  <si>
    <r>
      <rPr>
        <sz val="8"/>
        <color rgb="FF211E1F"/>
        <rFont val="Times New Roman"/>
        <family val="1"/>
      </rPr>
      <t>Veículos</t>
    </r>
  </si>
  <si>
    <t>2.1.1</t>
  </si>
  <si>
    <r>
      <rPr>
        <sz val="8"/>
        <color rgb="FF211E1F"/>
        <rFont val="Times New Roman"/>
        <family val="1"/>
      </rPr>
      <t>Veículo leve - 53 kW</t>
    </r>
  </si>
  <si>
    <r>
      <rPr>
        <sz val="8"/>
        <color rgb="FF211E1F"/>
        <rFont val="Times New Roman"/>
        <family val="1"/>
      </rPr>
      <t>E9093</t>
    </r>
  </si>
  <si>
    <r>
      <rPr>
        <sz val="8"/>
        <color rgb="FF211E1F"/>
        <rFont val="Times New Roman"/>
        <family val="1"/>
      </rPr>
      <t>veic./mês</t>
    </r>
  </si>
  <si>
    <t>2.1.2</t>
  </si>
  <si>
    <t>2.2.1</t>
  </si>
  <si>
    <r>
      <rPr>
        <sz val="8"/>
        <color rgb="FF211E1F"/>
        <rFont val="Times New Roman"/>
        <family val="1"/>
      </rPr>
      <t>E9512</t>
    </r>
  </si>
  <si>
    <t>Total dos Veículos da Parcela Fixa</t>
  </si>
  <si>
    <r>
      <rPr>
        <sz val="8"/>
        <color rgb="FF211E1F"/>
        <rFont val="Times New Roman"/>
        <family val="1"/>
      </rPr>
      <t>Apontador</t>
    </r>
  </si>
  <si>
    <r>
      <rPr>
        <sz val="8"/>
        <color rgb="FF211E1F"/>
        <rFont val="Times New Roman"/>
        <family val="1"/>
      </rPr>
      <t>P9804</t>
    </r>
  </si>
  <si>
    <t>Total Mão de Obra Parcela Vinculada</t>
  </si>
  <si>
    <r>
      <rPr>
        <b/>
        <sz val="8"/>
        <color rgb="FFFFFFFF"/>
        <rFont val="Times New Roman"/>
        <family val="1"/>
      </rPr>
      <t>Horário Produtivo (R$)</t>
    </r>
  </si>
  <si>
    <r>
      <rPr>
        <b/>
        <sz val="8"/>
        <color rgb="FF211E1F"/>
        <rFont val="Times New Roman"/>
        <family val="1"/>
      </rPr>
      <t>Subtotal do Item 1.2</t>
    </r>
  </si>
  <si>
    <t>Total Veículos da Parcela Vinculada</t>
  </si>
  <si>
    <r>
      <rPr>
        <b/>
        <sz val="8"/>
        <color rgb="FFFFFFFF"/>
        <rFont val="Times New Roman"/>
        <family val="1"/>
      </rPr>
      <t>PARCELA VARIÁVEL - EQUIPE DE CONTROLE TECNOLÓGICO</t>
    </r>
  </si>
  <si>
    <r>
      <rPr>
        <sz val="8"/>
        <color rgb="FF211E1F"/>
        <rFont val="Times New Roman"/>
        <family val="1"/>
      </rPr>
      <t>Laboratorista</t>
    </r>
  </si>
  <si>
    <r>
      <rPr>
        <sz val="8"/>
        <color rgb="FF211E1F"/>
        <rFont val="Times New Roman"/>
        <family val="1"/>
      </rPr>
      <t>P9858</t>
    </r>
  </si>
  <si>
    <r>
      <rPr>
        <sz val="8"/>
        <color rgb="FF211E1F"/>
        <rFont val="Times New Roman"/>
        <family val="1"/>
      </rPr>
      <t>Auxiliar de laboratório</t>
    </r>
  </si>
  <si>
    <r>
      <rPr>
        <sz val="8"/>
        <color rgb="FF211E1F"/>
        <rFont val="Times New Roman"/>
        <family val="1"/>
      </rPr>
      <t>P9833</t>
    </r>
  </si>
  <si>
    <t>Total Mão de Obra Parcela Variável</t>
  </si>
  <si>
    <r>
      <rPr>
        <sz val="8"/>
        <color rgb="FF211E1F"/>
        <rFont val="Times New Roman"/>
        <family val="1"/>
      </rPr>
      <t>Van furgão - 93 kW</t>
    </r>
  </si>
  <si>
    <r>
      <rPr>
        <sz val="8"/>
        <color rgb="FF211E1F"/>
        <rFont val="Times New Roman"/>
        <family val="1"/>
      </rPr>
      <t>E9125</t>
    </r>
  </si>
  <si>
    <t>Total Veículos da Parcela Variável</t>
  </si>
  <si>
    <r>
      <rPr>
        <b/>
        <sz val="8"/>
        <color rgb="FFFFFFFF"/>
        <rFont val="Times New Roman"/>
        <family val="1"/>
      </rPr>
      <t>PARCELA VARIÁVEL - LABORATÓRIO DE ASFALTO</t>
    </r>
  </si>
  <si>
    <r>
      <rPr>
        <b/>
        <sz val="8"/>
        <color rgb="FFFFFFFF"/>
        <rFont val="Times New Roman"/>
        <family val="1"/>
      </rPr>
      <t>QE</t>
    </r>
  </si>
  <si>
    <r>
      <rPr>
        <b/>
        <sz val="8"/>
        <color rgb="FFFFFFFF"/>
        <rFont val="Times New Roman"/>
        <family val="1"/>
      </rPr>
      <t>ELA</t>
    </r>
  </si>
  <si>
    <r>
      <rPr>
        <sz val="8"/>
        <color rgb="FF211E1F"/>
        <rFont val="Times New Roman"/>
        <family val="1"/>
      </rPr>
      <t>1.</t>
    </r>
  </si>
  <si>
    <r>
      <rPr>
        <sz val="8"/>
        <color rgb="FF211E1F"/>
        <rFont val="Times New Roman"/>
        <family val="1"/>
      </rPr>
      <t>Laboratório de Asfaltos</t>
    </r>
  </si>
  <si>
    <r>
      <rPr>
        <sz val="8"/>
        <color rgb="FF211E1F"/>
        <rFont val="Times New Roman"/>
        <family val="1"/>
      </rPr>
      <t>1.1</t>
    </r>
  </si>
  <si>
    <r>
      <rPr>
        <sz val="8"/>
        <color rgb="FF211E1F"/>
        <rFont val="Times New Roman"/>
        <family val="1"/>
      </rPr>
      <t>Pintura de ligação</t>
    </r>
  </si>
  <si>
    <r>
      <rPr>
        <sz val="8"/>
        <color rgb="FF211E1F"/>
        <rFont val="Times New Roman"/>
        <family val="1"/>
      </rPr>
      <t>m²</t>
    </r>
  </si>
  <si>
    <r>
      <rPr>
        <sz val="8"/>
        <color rgb="FF211E1F"/>
        <rFont val="Times New Roman"/>
        <family val="1"/>
      </rPr>
      <t>1.2</t>
    </r>
  </si>
  <si>
    <r>
      <rPr>
        <sz val="8"/>
        <color rgb="FF211E1F"/>
        <rFont val="Times New Roman"/>
        <family val="1"/>
      </rPr>
      <t>Concreto asfáltico usinado a quente - capa rolamento</t>
    </r>
  </si>
  <si>
    <r>
      <rPr>
        <sz val="8"/>
        <color rgb="FF211E1F"/>
        <rFont val="Times New Roman"/>
        <family val="1"/>
      </rPr>
      <t>t</t>
    </r>
  </si>
  <si>
    <r>
      <rPr>
        <sz val="8"/>
        <color rgb="FF211E1F"/>
        <rFont val="Times New Roman"/>
        <family val="1"/>
      </rPr>
      <t>1.3</t>
    </r>
  </si>
  <si>
    <r>
      <rPr>
        <sz val="8"/>
        <color rgb="FF211E1F"/>
        <rFont val="Times New Roman"/>
        <family val="1"/>
      </rPr>
      <t>Imprimação</t>
    </r>
  </si>
  <si>
    <t>1.1</t>
  </si>
  <si>
    <t>1.2</t>
  </si>
  <si>
    <t>PARCELA VINCULADA - EQUIPE DE PRODUÇÃO</t>
  </si>
  <si>
    <t>Encarregado de Pavimentação</t>
  </si>
  <si>
    <t>P9893</t>
  </si>
  <si>
    <t>2.2</t>
  </si>
  <si>
    <t>Veículos</t>
  </si>
  <si>
    <t>mês</t>
  </si>
  <si>
    <t>Unid</t>
  </si>
  <si>
    <t>Total de Equipes Lab Asfalto</t>
  </si>
  <si>
    <t>Equipe de controle tecnológico</t>
  </si>
  <si>
    <t>3.2</t>
  </si>
  <si>
    <t>Parcela fixa</t>
  </si>
  <si>
    <t>Parcela vinculada</t>
  </si>
  <si>
    <t>2.1</t>
  </si>
  <si>
    <t>3.1</t>
  </si>
  <si>
    <t>3.2.1</t>
  </si>
  <si>
    <t>3.1.1</t>
  </si>
  <si>
    <t>3.1.2</t>
  </si>
  <si>
    <t>meses</t>
  </si>
  <si>
    <t>Prazo execução</t>
  </si>
  <si>
    <t>Encarregado de pavimentação</t>
  </si>
  <si>
    <t>DMT CBUQ</t>
  </si>
  <si>
    <t>Concreto asfáltico - faixa C - areia e brita comerciais</t>
  </si>
  <si>
    <t>Concreto asfáltico - faixa C</t>
  </si>
  <si>
    <t>Julho/2014</t>
  </si>
  <si>
    <t>MÊS</t>
  </si>
  <si>
    <t>ÍNDICE PAVIMENTAÇÃO</t>
  </si>
  <si>
    <t>ÍNDICE PARCIAL</t>
  </si>
  <si>
    <t>FIXO</t>
  </si>
  <si>
    <t>VARIÁVEL</t>
  </si>
  <si>
    <t>Obs:</t>
  </si>
  <si>
    <t>Atualização da fórmula pela índice de pavimentação</t>
  </si>
  <si>
    <t>Fórmula de transporte atualizada</t>
  </si>
  <si>
    <t>33,435 + 0,314xD</t>
  </si>
  <si>
    <t>Custo de referência para o transporte dos produtos asfálticos, conforme Art. 3° da portaria nº 1.977 de 25 de outubro de 2017 do DNIT.</t>
  </si>
  <si>
    <t>REPAR</t>
  </si>
  <si>
    <t>Porto União</t>
  </si>
  <si>
    <t>CAP-50/70</t>
  </si>
  <si>
    <t>DMT (km)</t>
  </si>
  <si>
    <t>Insumo</t>
  </si>
  <si>
    <t>Custo Transporte (R$/ton)</t>
  </si>
  <si>
    <t>CM-30</t>
  </si>
  <si>
    <t>RR-2C</t>
  </si>
  <si>
    <t>ICMS</t>
  </si>
  <si>
    <t>Custo Transporte + ICMS (R$/ton)</t>
  </si>
  <si>
    <t>Distribuidora</t>
  </si>
  <si>
    <t>RUA</t>
  </si>
  <si>
    <t>TIPO</t>
  </si>
  <si>
    <t>AREA</t>
  </si>
  <si>
    <t>TONELADAS</t>
  </si>
  <si>
    <t>Não Pavimentada</t>
  </si>
  <si>
    <t>Pavimentada</t>
  </si>
  <si>
    <t>TOTAIS</t>
  </si>
  <si>
    <t>PIS</t>
  </si>
  <si>
    <t>COFINS</t>
  </si>
  <si>
    <t>(R$/ton)</t>
  </si>
  <si>
    <t>Custo Insumo</t>
  </si>
  <si>
    <t>Aquisição e transporte de CAP-50/70 para CBUQ</t>
  </si>
  <si>
    <t>Aquisição e transporte de RR-2C para pintura de ligação</t>
  </si>
  <si>
    <t>Aquisição e transporte de CM-30 para imprimação</t>
  </si>
  <si>
    <t>Origem</t>
  </si>
  <si>
    <t>Destino</t>
  </si>
  <si>
    <t>Custo Total</t>
  </si>
  <si>
    <t>Obs: custo final = custo base/(1-ICMS-PIS-COFINS)</t>
  </si>
  <si>
    <t>Transporte de funcionários</t>
  </si>
  <si>
    <t>Custo total de mobilização</t>
  </si>
  <si>
    <t>Mão de Obra</t>
  </si>
  <si>
    <t>PREFEITURA MUNICIPAL DE PORTO UNIÃO</t>
  </si>
  <si>
    <t>ORÇAMENTO DESCRITIVO</t>
  </si>
  <si>
    <t>Custos Base dos Ligantes Asfálticos</t>
  </si>
  <si>
    <t>Momentos de Transporte</t>
  </si>
  <si>
    <t>Planilha de custos referentes a administração local da obra</t>
  </si>
  <si>
    <t>Planilha de calculo de mobilização e desmobolizição</t>
  </si>
  <si>
    <t>PLANILHA DE CALCULO DO BDI</t>
  </si>
  <si>
    <t>FORMULA PARA O TRANSPORTE DE MATERIAL</t>
  </si>
  <si>
    <t>I - FRESAGEM E RECAPEAMENTO</t>
  </si>
  <si>
    <t>Fresagem contínua de revestimento betuminoso</t>
  </si>
  <si>
    <t>m3</t>
  </si>
  <si>
    <t>II - CAPA SOBRE BASE EXISTENTE</t>
  </si>
  <si>
    <t>III - SINALIZAÇÃO PROVISÓRIA DE OBRA</t>
  </si>
  <si>
    <t>IV - SERVIÇOS AUXILIARES</t>
  </si>
  <si>
    <t>V - MOBILIZAÇÃO/DESMOBILIZAÇÃO</t>
  </si>
  <si>
    <t>VI - ADMINISTRAÇÃO LOCAL</t>
  </si>
  <si>
    <t>Material fresado</t>
  </si>
  <si>
    <t>TRECHO</t>
  </si>
  <si>
    <t>DMT FRESADO</t>
  </si>
  <si>
    <t>Média Ponderada</t>
  </si>
  <si>
    <t>Pavimentação de Ruas diversas no Município de Porto União</t>
  </si>
  <si>
    <t>CPRB - DESONERAÇÃO</t>
  </si>
  <si>
    <t>BDI DESONERADO</t>
  </si>
  <si>
    <t>BDI TOTAL:</t>
  </si>
  <si>
    <t>B - Riscos</t>
  </si>
  <si>
    <t>C - Seguros e Garantias Contratuais</t>
  </si>
  <si>
    <t>D - Despesas Financeiras</t>
  </si>
  <si>
    <t>E - Lucro Operacional</t>
  </si>
  <si>
    <t>F - PIS</t>
  </si>
  <si>
    <t>G - COFINS</t>
  </si>
  <si>
    <t>H - ISSQN</t>
  </si>
  <si>
    <r>
      <rPr>
        <b/>
        <i/>
        <sz val="13"/>
        <rFont val="Times New Roman"/>
        <charset val="134"/>
      </rPr>
      <t>PREFEITURA MUNICIPAL DE PORTO UNIÃO</t>
    </r>
  </si>
  <si>
    <t>PLANILHA COM AS DISTANCIAS MÉDIAS DE TRANSPORTE PARA O CBUQ USINADO E PARA TRANSPORTE DO MATERIAL FRESADO</t>
  </si>
  <si>
    <t xml:space="preserve">            Data: JANEIRO/2021</t>
  </si>
  <si>
    <t>COMPRIMENTO</t>
  </si>
  <si>
    <t>LARGURA</t>
  </si>
  <si>
    <t>Area de Gola /limpa rodas</t>
  </si>
  <si>
    <t>AREA TOTAL</t>
  </si>
  <si>
    <t>GENERAL BORMANN</t>
  </si>
  <si>
    <t>R</t>
  </si>
  <si>
    <t>GERONIMO COELHO</t>
  </si>
  <si>
    <t>GUSTAVO TENNIUS DE MEDEIROS</t>
  </si>
  <si>
    <t>CIDADÃO JOSÉ LONA</t>
  </si>
  <si>
    <t>N</t>
  </si>
  <si>
    <t>FRANCISCO DE PAULA DIAS</t>
  </si>
  <si>
    <t>HERMINIO MILLIS</t>
  </si>
  <si>
    <t xml:space="preserve">PRES. JHONN F. KENNEDY </t>
  </si>
  <si>
    <t>PORTUGUAL</t>
  </si>
  <si>
    <t>POLONIA</t>
  </si>
  <si>
    <t>FINAL DO TERRENO DA ULTIMA CASA</t>
  </si>
  <si>
    <t>BRIGADEIRO EDUARDO GOMES</t>
  </si>
  <si>
    <t xml:space="preserve">JOSÉ KRETSCHEK </t>
  </si>
  <si>
    <t>ABDALA A. DOMINGOS</t>
  </si>
  <si>
    <t>ITALIA</t>
  </si>
  <si>
    <t>FINAL DO ASFALTO</t>
  </si>
  <si>
    <t>FRANCISCO LAURIANO DA SILVA</t>
  </si>
  <si>
    <t>REGINALDO STASIAK</t>
  </si>
  <si>
    <t>AGENOR MEDEIROS</t>
  </si>
  <si>
    <t>NESTOR KUNZ</t>
  </si>
  <si>
    <t>CLODOADO S. SCHENA</t>
  </si>
  <si>
    <t>DIRCEU BERTON</t>
  </si>
  <si>
    <t>ROGERIO LEMOS DE CAMARGO</t>
  </si>
  <si>
    <t>VEREADOR MIGUEL KOVALCHUK</t>
  </si>
  <si>
    <t xml:space="preserve">DIRCEU BERTON </t>
  </si>
  <si>
    <t>ADÃO MIBACH</t>
  </si>
  <si>
    <t>ANP - 11/2020</t>
  </si>
  <si>
    <t>DEZEMBRO/2020</t>
  </si>
  <si>
    <t>10/2020</t>
  </si>
  <si>
    <t>Cone plástico para canalização de trânsito - utilização 150 ciclos - fornecimento implantação e retirada</t>
  </si>
  <si>
    <t>unddia</t>
  </si>
  <si>
    <t xml:space="preserve">PORTUGUAL </t>
  </si>
  <si>
    <t>LEOPOLDO MATTE</t>
  </si>
  <si>
    <t>ALEMANHA</t>
  </si>
  <si>
    <t>MIGUEL HONESKO</t>
  </si>
  <si>
    <t>SETE DE SETEMBRO</t>
  </si>
  <si>
    <t>SANTOS DUMOUNT</t>
  </si>
  <si>
    <t>JOSE BOIUTEX</t>
  </si>
  <si>
    <t>13 DE MAIO</t>
  </si>
  <si>
    <t>VILAGRAN CABRITA</t>
  </si>
  <si>
    <t xml:space="preserve">FREI ROGERIO </t>
  </si>
  <si>
    <t>JOSÉ BOITEUX</t>
  </si>
  <si>
    <t>ABSALAO CARNEIRO</t>
  </si>
  <si>
    <t>AV. JOÃO PESSOA</t>
  </si>
  <si>
    <t>TEODORO KROETZ</t>
  </si>
  <si>
    <t>QUINTINO BACAIUVA</t>
  </si>
  <si>
    <t>CONS. MAFRA</t>
  </si>
  <si>
    <t>VOLUNTARIOS DA PATRIA</t>
  </si>
  <si>
    <t xml:space="preserve">ALBERTO BECKER </t>
  </si>
  <si>
    <t>WILLIBALDO J MULLER</t>
  </si>
  <si>
    <t>HELMUTH MULLER</t>
  </si>
  <si>
    <t>SEBASTIAO VENANCIO</t>
  </si>
  <si>
    <t>INICIO DA BASE</t>
  </si>
  <si>
    <t>FINAL</t>
  </si>
  <si>
    <t>ABEL BORTOLON</t>
  </si>
  <si>
    <t>JAIME MATZEMBACHER</t>
  </si>
  <si>
    <t>VEREADOR OTTO EGGERS</t>
  </si>
  <si>
    <t xml:space="preserve">MARECHAL DEODORO DA FONSECA </t>
  </si>
  <si>
    <t>ACACIO CORREA</t>
  </si>
  <si>
    <t>RODOLFO MATZEMBACHER</t>
  </si>
  <si>
    <t>FRANCISCO DE SOUZA BACELAR</t>
  </si>
  <si>
    <t>ACESSO ANA DOMINGAS BABIRESKI</t>
  </si>
  <si>
    <t>ANA DOMINGAS BABIRESKI</t>
  </si>
  <si>
    <t>EXPEDICIONARIO EDMUNDO ARRABAR</t>
  </si>
  <si>
    <t>INTEIRA</t>
  </si>
  <si>
    <t>CRUZEIRO</t>
  </si>
  <si>
    <t>AV. SANTA ROSA</t>
  </si>
  <si>
    <t>PROF. WEINAND</t>
  </si>
  <si>
    <t>PROF WEINAND</t>
  </si>
  <si>
    <t xml:space="preserve">ORLANDO SAVI </t>
  </si>
  <si>
    <t>CRUZAMENTO CIDADÃO JOSÉ LONA</t>
  </si>
  <si>
    <t>ENCONTRO COM ORLANDO SAVI</t>
  </si>
  <si>
    <t xml:space="preserve">FRANCISCO DE PAULA DIAS </t>
  </si>
  <si>
    <t>ENCONTRO COM  PRES. JHONN F. KENNEDY</t>
  </si>
  <si>
    <t>MIGUEL OLIVEIRA</t>
  </si>
  <si>
    <t>HUMBERTO ZARANTONIELO</t>
  </si>
  <si>
    <t>ABEL BERTON</t>
  </si>
  <si>
    <t>JOSÉ CASEMIRO SWIERK</t>
  </si>
  <si>
    <t>SALAMAO YARED</t>
  </si>
  <si>
    <t>EXP. EUGENIO ALVES DA SILVA</t>
  </si>
  <si>
    <t>JORGE LACERDA</t>
  </si>
  <si>
    <t>JORGE LARCERDA</t>
  </si>
  <si>
    <t>JOSÉ CASEMIR SWIERK</t>
  </si>
  <si>
    <t>ACASIO CORREA</t>
  </si>
  <si>
    <t xml:space="preserve">PROF. WEINAND </t>
  </si>
  <si>
    <t>EXP. EUGENIO A. DE ALMEIDA</t>
  </si>
  <si>
    <t>FRANCISCO OTAVIO PIMPAO</t>
  </si>
  <si>
    <t>NAPOLEAO PORTES</t>
  </si>
  <si>
    <t>FRANCISCO FERNANDES LUIZ</t>
  </si>
  <si>
    <t>LUIZ BAZONE</t>
  </si>
  <si>
    <t>VITORIO TARLOMBANI</t>
  </si>
  <si>
    <t>UNIAO DA VITORIA</t>
  </si>
  <si>
    <t>UNIÃO DA VITORIA</t>
  </si>
  <si>
    <t>FRENTE DO CEMITERIO</t>
  </si>
  <si>
    <t>FREDERICO GROBE</t>
  </si>
  <si>
    <t>JAQUELINO RAMOS</t>
  </si>
  <si>
    <t>AGRICULTOR PEDRO REISDORFER</t>
  </si>
  <si>
    <t>THEODORO LEMOS</t>
  </si>
  <si>
    <t>NILO PEÇANHA</t>
  </si>
  <si>
    <t>RENATO ARLEI OTTO</t>
  </si>
  <si>
    <t>CEL. ARTHUR DE PAULA E SOUZA</t>
  </si>
  <si>
    <t>HENRIQUE DOS PASSOS</t>
  </si>
  <si>
    <t>BRAZ LIMONGE</t>
  </si>
  <si>
    <t>MARIA DA SILVA</t>
  </si>
  <si>
    <t>ANDRÉ RUBI</t>
  </si>
  <si>
    <t>OZIRES NEVES</t>
  </si>
  <si>
    <t>ANDRÉ HOLOWATY</t>
  </si>
  <si>
    <t>ADÃO JOSÉ WEBER</t>
  </si>
  <si>
    <t>ELFRIDA WERLE</t>
  </si>
  <si>
    <t>ADÃO VOGEL</t>
  </si>
  <si>
    <t>LEOVEGILDO DALMAS</t>
  </si>
  <si>
    <t>ALBERTINA BRAUSCHNER / ATLETA RONALDO</t>
  </si>
  <si>
    <t>PADRE LANDEL DE MOURA</t>
  </si>
  <si>
    <t>COL. ARTHUR GALLE</t>
  </si>
  <si>
    <t>NOSSA SENHORA APARECIDA</t>
  </si>
  <si>
    <t>JOSÉ TESTI</t>
  </si>
  <si>
    <t>FRANCISO PILUSKI</t>
  </si>
  <si>
    <t>JOÃO MAZURECHEN</t>
  </si>
  <si>
    <t>ALBERTINA BRAUSCHNER</t>
  </si>
  <si>
    <t>FINAL DO ASLFATO</t>
  </si>
  <si>
    <t>Placa para sinalização de obras montada em cavalete metálico - 1x1m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</si>
</sst>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#,##0.000"/>
    <numFmt numFmtId="165" formatCode="0.0"/>
    <numFmt numFmtId="166" formatCode="0."/>
    <numFmt numFmtId="167" formatCode="#,##0.0000"/>
    <numFmt numFmtId="168" formatCode="0.0000"/>
    <numFmt numFmtId="169" formatCode="&quot;R$&quot;\ #,##0.00"/>
    <numFmt numFmtId="170" formatCode="0.000"/>
    <numFmt numFmtId="171" formatCode="&quot;R$&quot;\ #,##0.000"/>
    <numFmt numFmtId="172" formatCode="0.00_);[Red]\(0.00\)"/>
    <numFmt numFmtId="173" formatCode="0,0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8.5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8.5"/>
      <name val="Trebuchet MS"/>
      <family val="2"/>
    </font>
    <font>
      <b/>
      <sz val="8.5"/>
      <color rgb="FFFFFFFF"/>
      <name val="Trebuchet MS"/>
      <family val="2"/>
    </font>
    <font>
      <b/>
      <sz val="6.5"/>
      <name val="Arial"/>
      <family val="2"/>
    </font>
    <font>
      <b/>
      <sz val="6.5"/>
      <color rgb="FFFFFFFF"/>
      <name val="Arial"/>
      <family val="2"/>
    </font>
    <font>
      <b/>
      <sz val="6.5"/>
      <color rgb="FF211E1F"/>
      <name val="Arial"/>
      <family val="2"/>
    </font>
    <font>
      <sz val="6.5"/>
      <name val="Arial"/>
      <family val="2"/>
    </font>
    <font>
      <sz val="6.5"/>
      <color rgb="FF211E1F"/>
      <name val="Arial"/>
      <family val="2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sz val="8"/>
      <color rgb="FF211E1F"/>
      <name val="Times New Roman"/>
      <family val="1"/>
    </font>
    <font>
      <sz val="8"/>
      <name val="Times New Roman"/>
      <family val="1"/>
    </font>
    <font>
      <sz val="8"/>
      <color rgb="FF000000"/>
      <name val="Times New Roman"/>
      <family val="1"/>
    </font>
    <font>
      <b/>
      <sz val="8"/>
      <color rgb="FF211E1F"/>
      <name val="Times New Roman"/>
      <family val="1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i/>
      <sz val="12"/>
      <name val="Calibri"/>
      <family val="2"/>
    </font>
    <font>
      <i/>
      <u/>
      <sz val="12"/>
      <name val="Calibri"/>
      <family val="2"/>
    </font>
    <font>
      <b/>
      <i/>
      <sz val="13"/>
      <name val="Times New Roman"/>
      <charset val="134"/>
    </font>
    <font>
      <b/>
      <sz val="11"/>
      <color theme="1"/>
      <name val="Calibri"/>
      <charset val="134"/>
      <scheme val="minor"/>
    </font>
    <font>
      <b/>
      <u/>
      <sz val="11"/>
      <color theme="1"/>
      <name val="Calibri"/>
      <charset val="134"/>
      <scheme val="minor"/>
    </font>
    <font>
      <u/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</patternFill>
    </fill>
    <fill>
      <patternFill patternType="solid">
        <fgColor rgb="FF365F91"/>
      </patternFill>
    </fill>
    <fill>
      <patternFill patternType="solid">
        <fgColor rgb="FF528DD5"/>
      </patternFill>
    </fill>
    <fill>
      <patternFill patternType="solid">
        <fgColor rgb="FFC4D79A"/>
      </patternFill>
    </fill>
    <fill>
      <patternFill patternType="solid">
        <fgColor rgb="FF953634"/>
      </patternFill>
    </fill>
    <fill>
      <patternFill patternType="solid">
        <fgColor rgb="FFE26B09"/>
      </patternFill>
    </fill>
    <fill>
      <patternFill patternType="solid">
        <fgColor rgb="FF40404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3999450666829432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4" fillId="0" borderId="0"/>
  </cellStyleXfs>
  <cellXfs count="428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" fontId="0" fillId="3" borderId="1" xfId="0" applyNumberFormat="1" applyFill="1" applyBorder="1" applyAlignment="1">
      <alignment horizontal="center" vertical="center"/>
    </xf>
    <xf numFmtId="4" fontId="0" fillId="3" borderId="4" xfId="0" applyNumberFormat="1" applyFill="1" applyBorder="1" applyAlignment="1">
      <alignment horizontal="center" vertical="center"/>
    </xf>
    <xf numFmtId="4" fontId="0" fillId="3" borderId="5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2" fillId="0" borderId="8" xfId="0" applyFont="1" applyBorder="1" applyAlignment="1">
      <alignment horizontal="left" vertical="center"/>
    </xf>
    <xf numFmtId="10" fontId="2" fillId="0" borderId="14" xfId="0" applyNumberFormat="1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0" fontId="2" fillId="0" borderId="15" xfId="0" applyNumberFormat="1" applyFont="1" applyBorder="1" applyAlignment="1">
      <alignment horizontal="left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4" fontId="0" fillId="0" borderId="0" xfId="0" applyNumberFormat="1" applyAlignment="1">
      <alignment vertical="center"/>
    </xf>
    <xf numFmtId="0" fontId="0" fillId="0" borderId="4" xfId="0" applyBorder="1" applyAlignment="1">
      <alignment vertical="center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3" fillId="0" borderId="0" xfId="2" applyFill="1" applyBorder="1" applyAlignment="1">
      <alignment horizontal="left" vertical="top"/>
    </xf>
    <xf numFmtId="0" fontId="3" fillId="0" borderId="0" xfId="2" applyFill="1" applyBorder="1" applyAlignment="1">
      <alignment horizontal="center" vertical="top"/>
    </xf>
    <xf numFmtId="2" fontId="3" fillId="0" borderId="0" xfId="2" applyNumberFormat="1" applyFill="1" applyBorder="1" applyAlignment="1">
      <alignment horizontal="left" vertical="top"/>
    </xf>
    <xf numFmtId="0" fontId="5" fillId="4" borderId="20" xfId="2" applyFont="1" applyFill="1" applyBorder="1" applyAlignment="1">
      <alignment horizontal="center" vertical="top" wrapText="1"/>
    </xf>
    <xf numFmtId="0" fontId="5" fillId="4" borderId="24" xfId="2" applyFont="1" applyFill="1" applyBorder="1" applyAlignment="1">
      <alignment horizontal="left" vertical="top" wrapText="1" indent="1"/>
    </xf>
    <xf numFmtId="0" fontId="6" fillId="0" borderId="25" xfId="2" applyFont="1" applyFill="1" applyBorder="1" applyAlignment="1">
      <alignment horizontal="left" vertical="top" wrapText="1"/>
    </xf>
    <xf numFmtId="0" fontId="6" fillId="0" borderId="25" xfId="2" applyFont="1" applyFill="1" applyBorder="1" applyAlignment="1">
      <alignment horizontal="center" vertical="top" wrapText="1"/>
    </xf>
    <xf numFmtId="2" fontId="7" fillId="0" borderId="0" xfId="2" applyNumberFormat="1" applyFont="1" applyFill="1" applyBorder="1" applyAlignment="1">
      <alignment horizontal="right" vertical="top" shrinkToFit="1"/>
    </xf>
    <xf numFmtId="0" fontId="6" fillId="0" borderId="0" xfId="2" applyFont="1" applyFill="1" applyBorder="1" applyAlignment="1">
      <alignment horizontal="left" vertical="top" wrapText="1"/>
    </xf>
    <xf numFmtId="0" fontId="6" fillId="0" borderId="0" xfId="2" applyFont="1" applyFill="1" applyBorder="1" applyAlignment="1">
      <alignment horizontal="center" vertical="top" wrapText="1"/>
    </xf>
    <xf numFmtId="0" fontId="6" fillId="0" borderId="22" xfId="2" applyFont="1" applyFill="1" applyBorder="1" applyAlignment="1">
      <alignment horizontal="left" vertical="top" wrapText="1"/>
    </xf>
    <xf numFmtId="0" fontId="6" fillId="0" borderId="22" xfId="2" applyFont="1" applyFill="1" applyBorder="1" applyAlignment="1">
      <alignment horizontal="center" vertical="top" wrapText="1"/>
    </xf>
    <xf numFmtId="2" fontId="8" fillId="0" borderId="14" xfId="2" applyNumberFormat="1" applyFont="1" applyFill="1" applyBorder="1" applyAlignment="1">
      <alignment horizontal="right" vertical="top" shrinkToFit="1"/>
    </xf>
    <xf numFmtId="0" fontId="14" fillId="2" borderId="27" xfId="2" applyFont="1" applyFill="1" applyBorder="1" applyAlignment="1">
      <alignment horizontal="left" vertical="center" wrapText="1"/>
    </xf>
    <xf numFmtId="4" fontId="15" fillId="2" borderId="27" xfId="2" applyNumberFormat="1" applyFont="1" applyFill="1" applyBorder="1" applyAlignment="1">
      <alignment horizontal="right" vertical="center" shrinkToFit="1"/>
    </xf>
    <xf numFmtId="0" fontId="3" fillId="2" borderId="27" xfId="2" applyFill="1" applyBorder="1" applyAlignment="1">
      <alignment horizontal="left" vertical="center" wrapText="1"/>
    </xf>
    <xf numFmtId="4" fontId="13" fillId="2" borderId="27" xfId="2" applyNumberFormat="1" applyFont="1" applyFill="1" applyBorder="1" applyAlignment="1">
      <alignment horizontal="right" vertical="center" shrinkToFit="1"/>
    </xf>
    <xf numFmtId="0" fontId="3" fillId="0" borderId="0" xfId="2" applyFill="1" applyBorder="1" applyAlignment="1">
      <alignment horizontal="center" vertical="center"/>
    </xf>
    <xf numFmtId="0" fontId="3" fillId="0" borderId="0" xfId="2" applyFill="1" applyBorder="1" applyAlignment="1">
      <alignment horizontal="left" vertical="center"/>
    </xf>
    <xf numFmtId="0" fontId="11" fillId="5" borderId="27" xfId="2" applyFont="1" applyFill="1" applyBorder="1" applyAlignment="1">
      <alignment horizontal="center" vertical="center" wrapText="1"/>
    </xf>
    <xf numFmtId="166" fontId="13" fillId="2" borderId="27" xfId="2" applyNumberFormat="1" applyFont="1" applyFill="1" applyBorder="1" applyAlignment="1">
      <alignment horizontal="center" vertical="center" shrinkToFit="1"/>
    </xf>
    <xf numFmtId="0" fontId="14" fillId="2" borderId="27" xfId="2" applyFont="1" applyFill="1" applyBorder="1" applyAlignment="1">
      <alignment horizontal="center" vertical="center" wrapText="1"/>
    </xf>
    <xf numFmtId="2" fontId="15" fillId="2" borderId="27" xfId="2" applyNumberFormat="1" applyFont="1" applyFill="1" applyBorder="1" applyAlignment="1">
      <alignment horizontal="center" vertical="center" shrinkToFit="1"/>
    </xf>
    <xf numFmtId="0" fontId="3" fillId="2" borderId="27" xfId="2" applyFill="1" applyBorder="1" applyAlignment="1">
      <alignment horizontal="center" vertical="center" wrapText="1"/>
    </xf>
    <xf numFmtId="0" fontId="11" fillId="2" borderId="27" xfId="2" applyFont="1" applyFill="1" applyBorder="1" applyAlignment="1">
      <alignment horizontal="left" vertical="center" wrapText="1"/>
    </xf>
    <xf numFmtId="0" fontId="16" fillId="6" borderId="27" xfId="2" applyFont="1" applyFill="1" applyBorder="1" applyAlignment="1">
      <alignment horizontal="center" vertical="center" wrapText="1"/>
    </xf>
    <xf numFmtId="1" fontId="18" fillId="0" borderId="27" xfId="2" applyNumberFormat="1" applyFont="1" applyFill="1" applyBorder="1" applyAlignment="1">
      <alignment horizontal="center" vertical="center" shrinkToFit="1"/>
    </xf>
    <xf numFmtId="0" fontId="19" fillId="0" borderId="27" xfId="2" applyFont="1" applyFill="1" applyBorder="1" applyAlignment="1">
      <alignment horizontal="center" vertical="center" wrapText="1"/>
    </xf>
    <xf numFmtId="0" fontId="19" fillId="7" borderId="27" xfId="2" applyFont="1" applyFill="1" applyBorder="1" applyAlignment="1">
      <alignment horizontal="center" vertical="center" wrapText="1"/>
    </xf>
    <xf numFmtId="0" fontId="19" fillId="0" borderId="27" xfId="2" applyFont="1" applyFill="1" applyBorder="1" applyAlignment="1">
      <alignment horizontal="left" vertical="center" wrapText="1"/>
    </xf>
    <xf numFmtId="2" fontId="18" fillId="0" borderId="27" xfId="2" applyNumberFormat="1" applyFont="1" applyFill="1" applyBorder="1" applyAlignment="1">
      <alignment horizontal="center" vertical="center" shrinkToFit="1"/>
    </xf>
    <xf numFmtId="167" fontId="18" fillId="2" borderId="27" xfId="2" applyNumberFormat="1" applyFont="1" applyFill="1" applyBorder="1" applyAlignment="1">
      <alignment horizontal="center" vertical="center" shrinkToFit="1"/>
    </xf>
    <xf numFmtId="4" fontId="18" fillId="0" borderId="27" xfId="2" applyNumberFormat="1" applyFont="1" applyFill="1" applyBorder="1" applyAlignment="1">
      <alignment horizontal="right" vertical="center" shrinkToFit="1"/>
    </xf>
    <xf numFmtId="4" fontId="21" fillId="0" borderId="27" xfId="2" applyNumberFormat="1" applyFont="1" applyFill="1" applyBorder="1" applyAlignment="1">
      <alignment horizontal="right" vertical="center" shrinkToFit="1"/>
    </xf>
    <xf numFmtId="0" fontId="20" fillId="6" borderId="27" xfId="2" applyFont="1" applyFill="1" applyBorder="1" applyAlignment="1">
      <alignment horizontal="center" vertical="center" wrapText="1"/>
    </xf>
    <xf numFmtId="4" fontId="16" fillId="6" borderId="27" xfId="2" applyNumberFormat="1" applyFont="1" applyFill="1" applyBorder="1" applyAlignment="1">
      <alignment horizontal="center" vertical="center" wrapText="1"/>
    </xf>
    <xf numFmtId="168" fontId="18" fillId="0" borderId="27" xfId="2" applyNumberFormat="1" applyFont="1" applyFill="1" applyBorder="1" applyAlignment="1">
      <alignment horizontal="center" vertical="center" shrinkToFit="1"/>
    </xf>
    <xf numFmtId="4" fontId="16" fillId="0" borderId="21" xfId="2" applyNumberFormat="1" applyFont="1" applyFill="1" applyBorder="1" applyAlignment="1">
      <alignment vertical="center" wrapText="1"/>
    </xf>
    <xf numFmtId="0" fontId="16" fillId="8" borderId="27" xfId="2" applyFont="1" applyFill="1" applyBorder="1" applyAlignment="1">
      <alignment horizontal="center" vertical="center" wrapText="1"/>
    </xf>
    <xf numFmtId="0" fontId="16" fillId="9" borderId="27" xfId="2" applyFont="1" applyFill="1" applyBorder="1" applyAlignment="1">
      <alignment horizontal="center" vertical="center" wrapText="1"/>
    </xf>
    <xf numFmtId="0" fontId="20" fillId="9" borderId="27" xfId="2" applyFont="1" applyFill="1" applyBorder="1" applyAlignment="1">
      <alignment horizontal="center" vertical="center" wrapText="1"/>
    </xf>
    <xf numFmtId="0" fontId="16" fillId="10" borderId="27" xfId="2" applyFont="1" applyFill="1" applyBorder="1" applyAlignment="1">
      <alignment horizontal="center" vertical="center" wrapText="1"/>
    </xf>
    <xf numFmtId="167" fontId="18" fillId="0" borderId="27" xfId="2" applyNumberFormat="1" applyFont="1" applyFill="1" applyBorder="1" applyAlignment="1">
      <alignment horizontal="center" vertical="center" shrinkToFit="1"/>
    </xf>
    <xf numFmtId="168" fontId="18" fillId="0" borderId="27" xfId="2" applyNumberFormat="1" applyFont="1" applyFill="1" applyBorder="1" applyAlignment="1">
      <alignment horizontal="right" vertical="center" shrinkToFit="1"/>
    </xf>
    <xf numFmtId="0" fontId="19" fillId="0" borderId="19" xfId="2" applyFont="1" applyFill="1" applyBorder="1" applyAlignment="1">
      <alignment vertical="center" wrapText="1"/>
    </xf>
    <xf numFmtId="0" fontId="19" fillId="0" borderId="20" xfId="2" applyFont="1" applyFill="1" applyBorder="1" applyAlignment="1">
      <alignment vertical="center" wrapText="1"/>
    </xf>
    <xf numFmtId="0" fontId="19" fillId="0" borderId="21" xfId="2" applyFont="1" applyFill="1" applyBorder="1" applyAlignment="1">
      <alignment vertical="center" wrapText="1"/>
    </xf>
    <xf numFmtId="0" fontId="18" fillId="0" borderId="27" xfId="2" applyFont="1" applyFill="1" applyBorder="1" applyAlignment="1">
      <alignment horizontal="left" vertical="center" wrapText="1"/>
    </xf>
    <xf numFmtId="0" fontId="18" fillId="0" borderId="27" xfId="2" applyFont="1" applyFill="1" applyBorder="1" applyAlignment="1">
      <alignment horizontal="center" vertical="center" wrapText="1"/>
    </xf>
    <xf numFmtId="2" fontId="15" fillId="2" borderId="19" xfId="2" applyNumberFormat="1" applyFont="1" applyFill="1" applyBorder="1" applyAlignment="1">
      <alignment horizontal="center" vertical="center" shrinkToFit="1"/>
    </xf>
    <xf numFmtId="0" fontId="17" fillId="10" borderId="27" xfId="2" applyFont="1" applyFill="1" applyBorder="1" applyAlignment="1">
      <alignment horizontal="center" vertical="center" wrapText="1"/>
    </xf>
    <xf numFmtId="168" fontId="16" fillId="0" borderId="21" xfId="2" applyNumberFormat="1" applyFont="1" applyFill="1" applyBorder="1" applyAlignment="1">
      <alignment vertical="center" wrapText="1"/>
    </xf>
    <xf numFmtId="0" fontId="14" fillId="2" borderId="19" xfId="2" applyFont="1" applyFill="1" applyBorder="1" applyAlignment="1">
      <alignment horizontal="center" vertical="center" wrapText="1"/>
    </xf>
    <xf numFmtId="4" fontId="13" fillId="2" borderId="31" xfId="2" applyNumberFormat="1" applyFont="1" applyFill="1" applyBorder="1" applyAlignment="1">
      <alignment horizontal="right" vertical="center" shrinkToFit="1"/>
    </xf>
    <xf numFmtId="2" fontId="15" fillId="2" borderId="1" xfId="2" applyNumberFormat="1" applyFont="1" applyFill="1" applyBorder="1" applyAlignment="1">
      <alignment horizontal="center" vertical="center" shrinkToFit="1"/>
    </xf>
    <xf numFmtId="4" fontId="15" fillId="2" borderId="1" xfId="2" applyNumberFormat="1" applyFont="1" applyFill="1" applyBorder="1" applyAlignment="1">
      <alignment horizontal="right" vertical="center" shrinkToFit="1"/>
    </xf>
    <xf numFmtId="4" fontId="15" fillId="2" borderId="27" xfId="2" applyNumberFormat="1" applyFont="1" applyFill="1" applyBorder="1" applyAlignment="1">
      <alignment horizontal="center" vertical="center" shrinkToFit="1"/>
    </xf>
    <xf numFmtId="4" fontId="15" fillId="2" borderId="28" xfId="2" applyNumberFormat="1" applyFont="1" applyFill="1" applyBorder="1" applyAlignment="1">
      <alignment horizontal="center" vertical="center" shrinkToFit="1"/>
    </xf>
    <xf numFmtId="4" fontId="15" fillId="2" borderId="1" xfId="2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/>
    <xf numFmtId="4" fontId="0" fillId="0" borderId="1" xfId="0" applyNumberFormat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169" fontId="2" fillId="0" borderId="1" xfId="0" applyNumberFormat="1" applyFont="1" applyBorder="1" applyAlignment="1">
      <alignment horizontal="right" vertical="center"/>
    </xf>
    <xf numFmtId="0" fontId="2" fillId="3" borderId="2" xfId="0" applyFont="1" applyFill="1" applyBorder="1" applyAlignment="1">
      <alignment horizontal="left"/>
    </xf>
    <xf numFmtId="10" fontId="0" fillId="0" borderId="4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164" fontId="0" fillId="2" borderId="4" xfId="0" applyNumberFormat="1" applyFill="1" applyBorder="1" applyAlignment="1">
      <alignment horizontal="center" vertical="center"/>
    </xf>
    <xf numFmtId="0" fontId="5" fillId="4" borderId="16" xfId="2" applyFont="1" applyFill="1" applyBorder="1" applyAlignment="1">
      <alignment horizontal="center" vertical="top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0" fontId="0" fillId="0" borderId="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3" borderId="8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164" fontId="0" fillId="3" borderId="14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164" fontId="0" fillId="3" borderId="9" xfId="0" applyNumberFormat="1" applyFill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0" fontId="0" fillId="2" borderId="6" xfId="0" applyFill="1" applyBorder="1"/>
    <xf numFmtId="0" fontId="0" fillId="0" borderId="1" xfId="0" applyBorder="1" applyAlignment="1">
      <alignment horizontal="center" vertical="center"/>
    </xf>
    <xf numFmtId="4" fontId="11" fillId="5" borderId="27" xfId="2" applyNumberFormat="1" applyFont="1" applyFill="1" applyBorder="1" applyAlignment="1">
      <alignment horizontal="center" vertical="center" wrapText="1"/>
    </xf>
    <xf numFmtId="165" fontId="7" fillId="0" borderId="0" xfId="2" applyNumberFormat="1" applyFont="1" applyFill="1" applyBorder="1" applyAlignment="1">
      <alignment horizontal="center" vertical="top" shrinkToFit="1"/>
    </xf>
    <xf numFmtId="0" fontId="0" fillId="0" borderId="1" xfId="0" applyBorder="1" applyAlignment="1">
      <alignment horizontal="center" vertical="center"/>
    </xf>
    <xf numFmtId="0" fontId="3" fillId="0" borderId="0" xfId="2" applyFill="1" applyBorder="1" applyAlignment="1">
      <alignment horizontal="left" wrapText="1"/>
    </xf>
    <xf numFmtId="1" fontId="7" fillId="0" borderId="0" xfId="2" applyNumberFormat="1" applyFont="1" applyFill="1" applyBorder="1" applyAlignment="1">
      <alignment horizontal="center" vertical="top" shrinkToFit="1"/>
    </xf>
    <xf numFmtId="1" fontId="7" fillId="0" borderId="22" xfId="2" applyNumberFormat="1" applyFont="1" applyFill="1" applyBorder="1" applyAlignment="1">
      <alignment horizontal="center" vertical="top" shrinkToFit="1"/>
    </xf>
    <xf numFmtId="0" fontId="3" fillId="0" borderId="25" xfId="2" applyFill="1" applyBorder="1" applyAlignment="1">
      <alignment horizontal="left" wrapText="1"/>
    </xf>
    <xf numFmtId="0" fontId="2" fillId="0" borderId="0" xfId="0" applyFont="1" applyBorder="1" applyAlignment="1">
      <alignment horizontal="center" vertical="center"/>
    </xf>
    <xf numFmtId="0" fontId="3" fillId="0" borderId="35" xfId="2" applyFill="1" applyBorder="1" applyAlignment="1">
      <alignment horizontal="left" vertical="top"/>
    </xf>
    <xf numFmtId="0" fontId="3" fillId="0" borderId="37" xfId="2" applyFill="1" applyBorder="1" applyAlignment="1">
      <alignment horizontal="left" vertical="top"/>
    </xf>
    <xf numFmtId="0" fontId="5" fillId="4" borderId="43" xfId="2" applyFont="1" applyFill="1" applyBorder="1" applyAlignment="1">
      <alignment horizontal="center" vertical="center" wrapText="1"/>
    </xf>
    <xf numFmtId="0" fontId="6" fillId="0" borderId="36" xfId="2" applyFont="1" applyFill="1" applyBorder="1" applyAlignment="1">
      <alignment horizontal="right" vertical="top" wrapText="1" indent="1"/>
    </xf>
    <xf numFmtId="4" fontId="7" fillId="0" borderId="37" xfId="2" applyNumberFormat="1" applyFont="1" applyFill="1" applyBorder="1" applyAlignment="1">
      <alignment horizontal="right" vertical="top" shrinkToFit="1"/>
    </xf>
    <xf numFmtId="0" fontId="6" fillId="0" borderId="44" xfId="2" applyFont="1" applyFill="1" applyBorder="1" applyAlignment="1">
      <alignment horizontal="right" vertical="top" wrapText="1" indent="1"/>
    </xf>
    <xf numFmtId="4" fontId="8" fillId="0" borderId="46" xfId="2" applyNumberFormat="1" applyFont="1" applyFill="1" applyBorder="1" applyAlignment="1">
      <alignment horizontal="right" vertical="top" shrinkToFit="1"/>
    </xf>
    <xf numFmtId="0" fontId="5" fillId="0" borderId="36" xfId="2" applyFont="1" applyFill="1" applyBorder="1" applyAlignment="1">
      <alignment horizontal="left" vertical="top"/>
    </xf>
    <xf numFmtId="0" fontId="5" fillId="4" borderId="45" xfId="2" applyFont="1" applyFill="1" applyBorder="1" applyAlignment="1">
      <alignment horizontal="center" vertical="top" wrapText="1"/>
    </xf>
    <xf numFmtId="0" fontId="6" fillId="0" borderId="47" xfId="2" applyFont="1" applyFill="1" applyBorder="1" applyAlignment="1">
      <alignment horizontal="center" vertical="top" wrapText="1"/>
    </xf>
    <xf numFmtId="0" fontId="6" fillId="0" borderId="36" xfId="2" applyFont="1" applyFill="1" applyBorder="1" applyAlignment="1">
      <alignment horizontal="center" vertical="top" wrapText="1"/>
    </xf>
    <xf numFmtId="0" fontId="3" fillId="0" borderId="47" xfId="2" applyFill="1" applyBorder="1" applyAlignment="1">
      <alignment horizontal="left" wrapText="1"/>
    </xf>
    <xf numFmtId="0" fontId="5" fillId="4" borderId="39" xfId="2" applyFont="1" applyFill="1" applyBorder="1" applyAlignment="1">
      <alignment horizontal="center" vertical="top" wrapText="1"/>
    </xf>
    <xf numFmtId="0" fontId="3" fillId="0" borderId="44" xfId="2" applyFill="1" applyBorder="1" applyAlignment="1">
      <alignment horizontal="left" wrapText="1"/>
    </xf>
    <xf numFmtId="0" fontId="3" fillId="0" borderId="48" xfId="2" applyFill="1" applyBorder="1" applyAlignment="1">
      <alignment horizontal="left" vertical="center" wrapText="1"/>
    </xf>
    <xf numFmtId="0" fontId="5" fillId="0" borderId="49" xfId="2" applyFont="1" applyFill="1" applyBorder="1" applyAlignment="1">
      <alignment horizontal="left" vertical="top" wrapText="1"/>
    </xf>
    <xf numFmtId="0" fontId="3" fillId="0" borderId="51" xfId="2" applyFill="1" applyBorder="1" applyAlignment="1">
      <alignment horizontal="left" vertical="center" wrapText="1"/>
    </xf>
    <xf numFmtId="0" fontId="3" fillId="0" borderId="51" xfId="2" applyFill="1" applyBorder="1" applyAlignment="1">
      <alignment horizontal="left" vertical="top"/>
    </xf>
    <xf numFmtId="0" fontId="3" fillId="0" borderId="52" xfId="2" applyFill="1" applyBorder="1" applyAlignment="1">
      <alignment horizontal="left" vertical="top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3" xfId="0" applyBorder="1"/>
    <xf numFmtId="0" fontId="2" fillId="0" borderId="38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2" fillId="0" borderId="0" xfId="0" applyFont="1" applyBorder="1"/>
    <xf numFmtId="0" fontId="2" fillId="0" borderId="37" xfId="0" applyFont="1" applyBorder="1"/>
    <xf numFmtId="17" fontId="0" fillId="0" borderId="42" xfId="0" quotePrefix="1" applyNumberFormat="1" applyBorder="1" applyAlignment="1">
      <alignment horizontal="left" vertical="center"/>
    </xf>
    <xf numFmtId="0" fontId="0" fillId="0" borderId="0" xfId="0" applyBorder="1"/>
    <xf numFmtId="0" fontId="0" fillId="0" borderId="37" xfId="0" applyBorder="1"/>
    <xf numFmtId="0" fontId="0" fillId="0" borderId="38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21" fillId="0" borderId="0" xfId="2" applyFont="1" applyFill="1" applyBorder="1" applyAlignment="1">
      <alignment horizontal="right" vertical="center" wrapText="1"/>
    </xf>
    <xf numFmtId="4" fontId="16" fillId="0" borderId="0" xfId="2" applyNumberFormat="1" applyFont="1" applyFill="1" applyBorder="1" applyAlignment="1">
      <alignment vertical="center" wrapText="1"/>
    </xf>
    <xf numFmtId="17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71" fontId="0" fillId="0" borderId="1" xfId="0" applyNumberForma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70" fontId="0" fillId="0" borderId="43" xfId="0" applyNumberForma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/>
    </xf>
    <xf numFmtId="0" fontId="0" fillId="0" borderId="42" xfId="0" applyBorder="1" applyAlignment="1">
      <alignment horizontal="center" vertical="center"/>
    </xf>
    <xf numFmtId="4" fontId="2" fillId="0" borderId="43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0" fontId="0" fillId="0" borderId="5" xfId="0" applyBorder="1" applyAlignment="1">
      <alignment vertic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0" fillId="0" borderId="5" xfId="0" applyNumberFormat="1" applyBorder="1" applyAlignment="1">
      <alignment vertical="center"/>
    </xf>
    <xf numFmtId="0" fontId="0" fillId="0" borderId="15" xfId="0" applyBorder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10" fontId="0" fillId="0" borderId="0" xfId="0" applyNumberFormat="1"/>
    <xf numFmtId="0" fontId="0" fillId="0" borderId="0" xfId="0" applyFont="1" applyAlignment="1">
      <alignment vertical="center"/>
    </xf>
    <xf numFmtId="10" fontId="2" fillId="12" borderId="67" xfId="1" applyNumberFormat="1" applyFont="1" applyFill="1" applyBorder="1" applyAlignment="1">
      <alignment horizontal="center"/>
    </xf>
    <xf numFmtId="0" fontId="2" fillId="3" borderId="67" xfId="0" applyFont="1" applyFill="1" applyBorder="1" applyAlignment="1">
      <alignment horizontal="center"/>
    </xf>
    <xf numFmtId="0" fontId="0" fillId="0" borderId="0" xfId="4" applyFont="1" applyAlignment="1">
      <alignment horizontal="center" vertical="top"/>
    </xf>
    <xf numFmtId="0" fontId="0" fillId="0" borderId="0" xfId="4" applyFont="1" applyAlignment="1">
      <alignment vertical="center"/>
    </xf>
    <xf numFmtId="0" fontId="25" fillId="0" borderId="0" xfId="0" applyFont="1" applyAlignment="1">
      <alignment horizontal="right" vertical="center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 vertical="top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0" fillId="13" borderId="1" xfId="0" applyFill="1" applyBorder="1" applyAlignment="1">
      <alignment horizontal="center" vertical="center"/>
    </xf>
    <xf numFmtId="0" fontId="29" fillId="13" borderId="1" xfId="0" applyFont="1" applyFill="1" applyBorder="1" applyAlignment="1">
      <alignment horizontal="center" vertical="center" wrapText="1"/>
    </xf>
    <xf numFmtId="0" fontId="28" fillId="1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0" fontId="0" fillId="2" borderId="0" xfId="0" applyFill="1"/>
    <xf numFmtId="0" fontId="28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right" vertical="center" wrapText="1"/>
    </xf>
    <xf numFmtId="0" fontId="28" fillId="2" borderId="1" xfId="0" applyFont="1" applyFill="1" applyBorder="1" applyAlignment="1">
      <alignment horizontal="left" vertical="center" wrapText="1"/>
    </xf>
    <xf numFmtId="170" fontId="0" fillId="15" borderId="1" xfId="0" applyNumberFormat="1" applyFill="1" applyBorder="1" applyAlignment="1">
      <alignment vertical="center"/>
    </xf>
    <xf numFmtId="0" fontId="28" fillId="0" borderId="0" xfId="0" applyFont="1" applyAlignment="1">
      <alignment vertical="center"/>
    </xf>
    <xf numFmtId="43" fontId="31" fillId="11" borderId="1" xfId="3" applyFont="1" applyFill="1" applyBorder="1" applyAlignment="1">
      <alignment vertical="center"/>
    </xf>
    <xf numFmtId="0" fontId="31" fillId="15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172" fontId="0" fillId="2" borderId="1" xfId="0" applyNumberFormat="1" applyFill="1" applyBorder="1"/>
    <xf numFmtId="0" fontId="0" fillId="2" borderId="3" xfId="0" applyFill="1" applyBorder="1" applyAlignment="1">
      <alignment vertical="center" wrapText="1"/>
    </xf>
    <xf numFmtId="0" fontId="0" fillId="0" borderId="1" xfId="0" applyBorder="1"/>
    <xf numFmtId="0" fontId="0" fillId="0" borderId="14" xfId="0" applyBorder="1"/>
    <xf numFmtId="0" fontId="0" fillId="0" borderId="5" xfId="0" applyBorder="1"/>
    <xf numFmtId="0" fontId="0" fillId="2" borderId="1" xfId="0" applyFill="1" applyBorder="1" applyAlignment="1">
      <alignment horizontal="right"/>
    </xf>
    <xf numFmtId="0" fontId="28" fillId="2" borderId="3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0" fillId="15" borderId="3" xfId="0" applyFill="1" applyBorder="1" applyAlignment="1">
      <alignment vertical="center"/>
    </xf>
    <xf numFmtId="0" fontId="0" fillId="15" borderId="1" xfId="0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0" fontId="31" fillId="11" borderId="1" xfId="3" applyNumberFormat="1" applyFont="1" applyFill="1" applyBorder="1" applyAlignment="1">
      <alignment vertical="center"/>
    </xf>
    <xf numFmtId="173" fontId="31" fillId="11" borderId="1" xfId="3" applyNumberFormat="1" applyFont="1" applyFill="1" applyBorder="1" applyAlignment="1">
      <alignment vertical="center"/>
    </xf>
    <xf numFmtId="172" fontId="31" fillId="15" borderId="1" xfId="0" applyNumberFormat="1" applyFont="1" applyFill="1" applyBorder="1" applyAlignment="1">
      <alignment vertical="center"/>
    </xf>
    <xf numFmtId="0" fontId="0" fillId="2" borderId="0" xfId="0" applyFill="1" applyAlignment="1">
      <alignment horizontal="right" vertical="center" wrapText="1"/>
    </xf>
    <xf numFmtId="4" fontId="0" fillId="3" borderId="4" xfId="0" applyNumberFormat="1" applyFill="1" applyBorder="1" applyAlignment="1">
      <alignment horizontal="center" vertical="center"/>
    </xf>
    <xf numFmtId="4" fontId="0" fillId="3" borderId="7" xfId="0" applyNumberFormat="1" applyFill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7" fontId="0" fillId="0" borderId="15" xfId="0" quotePrefix="1" applyNumberFormat="1" applyBorder="1" applyAlignment="1">
      <alignment horizontal="left" vertical="center"/>
    </xf>
    <xf numFmtId="0" fontId="0" fillId="0" borderId="13" xfId="0" applyNumberFormat="1" applyBorder="1" applyAlignment="1">
      <alignment horizontal="left" vertical="center"/>
    </xf>
    <xf numFmtId="4" fontId="0" fillId="0" borderId="14" xfId="0" applyNumberFormat="1" applyBorder="1" applyAlignment="1">
      <alignment horizontal="left" vertical="center"/>
    </xf>
    <xf numFmtId="4" fontId="0" fillId="0" borderId="9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0" fontId="0" fillId="3" borderId="6" xfId="0" applyNumberFormat="1" applyFill="1" applyBorder="1" applyAlignment="1">
      <alignment horizontal="center" vertical="center"/>
    </xf>
    <xf numFmtId="10" fontId="0" fillId="2" borderId="6" xfId="1" applyNumberFormat="1" applyFont="1" applyFill="1" applyBorder="1" applyAlignment="1">
      <alignment horizontal="center" vertical="center"/>
    </xf>
    <xf numFmtId="10" fontId="0" fillId="2" borderId="3" xfId="1" applyNumberFormat="1" applyFont="1" applyFill="1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0" fillId="0" borderId="56" xfId="0" applyNumberFormat="1" applyBorder="1" applyAlignment="1">
      <alignment horizontal="left" vertical="center"/>
    </xf>
    <xf numFmtId="0" fontId="0" fillId="0" borderId="3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55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22" fillId="0" borderId="3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10" fontId="0" fillId="2" borderId="53" xfId="1" applyNumberFormat="1" applyFont="1" applyFill="1" applyBorder="1" applyAlignment="1">
      <alignment horizontal="center" vertical="center"/>
    </xf>
    <xf numFmtId="10" fontId="0" fillId="0" borderId="53" xfId="0" applyNumberFormat="1" applyBorder="1" applyAlignment="1">
      <alignment horizontal="center" vertical="center"/>
    </xf>
    <xf numFmtId="4" fontId="0" fillId="0" borderId="54" xfId="0" applyNumberFormat="1" applyBorder="1" applyAlignment="1">
      <alignment horizontal="left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2" fillId="0" borderId="1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" fontId="13" fillId="2" borderId="19" xfId="2" applyNumberFormat="1" applyFont="1" applyFill="1" applyBorder="1" applyAlignment="1">
      <alignment horizontal="center" vertical="center" shrinkToFit="1"/>
    </xf>
    <xf numFmtId="2" fontId="13" fillId="2" borderId="21" xfId="2" applyNumberFormat="1" applyFont="1" applyFill="1" applyBorder="1" applyAlignment="1">
      <alignment horizontal="center" vertical="center" shrinkToFit="1"/>
    </xf>
    <xf numFmtId="0" fontId="21" fillId="0" borderId="19" xfId="2" applyFont="1" applyFill="1" applyBorder="1" applyAlignment="1">
      <alignment horizontal="right" vertical="center" wrapText="1"/>
    </xf>
    <xf numFmtId="0" fontId="21" fillId="0" borderId="20" xfId="2" applyFont="1" applyFill="1" applyBorder="1" applyAlignment="1">
      <alignment horizontal="right" vertical="center" wrapText="1"/>
    </xf>
    <xf numFmtId="0" fontId="17" fillId="8" borderId="19" xfId="2" applyFont="1" applyFill="1" applyBorder="1" applyAlignment="1">
      <alignment horizontal="center" vertical="center" wrapText="1"/>
    </xf>
    <xf numFmtId="0" fontId="16" fillId="8" borderId="20" xfId="2" applyFont="1" applyFill="1" applyBorder="1" applyAlignment="1">
      <alignment horizontal="center" vertical="center" wrapText="1"/>
    </xf>
    <xf numFmtId="0" fontId="16" fillId="8" borderId="21" xfId="2" applyFont="1" applyFill="1" applyBorder="1" applyAlignment="1">
      <alignment horizontal="center" vertical="center" wrapText="1"/>
    </xf>
    <xf numFmtId="0" fontId="19" fillId="0" borderId="19" xfId="2" applyFont="1" applyFill="1" applyBorder="1" applyAlignment="1">
      <alignment horizontal="left" vertical="center" wrapText="1"/>
    </xf>
    <xf numFmtId="0" fontId="19" fillId="0" borderId="20" xfId="2" applyFont="1" applyFill="1" applyBorder="1" applyAlignment="1">
      <alignment horizontal="left" vertical="center" wrapText="1"/>
    </xf>
    <xf numFmtId="0" fontId="19" fillId="0" borderId="21" xfId="2" applyFont="1" applyFill="1" applyBorder="1" applyAlignment="1">
      <alignment horizontal="left" vertical="center" wrapText="1"/>
    </xf>
    <xf numFmtId="0" fontId="17" fillId="8" borderId="20" xfId="2" applyFont="1" applyFill="1" applyBorder="1" applyAlignment="1">
      <alignment horizontal="center" vertical="center" wrapText="1"/>
    </xf>
    <xf numFmtId="0" fontId="16" fillId="9" borderId="19" xfId="2" applyFont="1" applyFill="1" applyBorder="1" applyAlignment="1">
      <alignment horizontal="center" vertical="center" wrapText="1"/>
    </xf>
    <xf numFmtId="0" fontId="16" fillId="9" borderId="20" xfId="2" applyFont="1" applyFill="1" applyBorder="1" applyAlignment="1">
      <alignment horizontal="center" vertical="center" wrapText="1"/>
    </xf>
    <xf numFmtId="0" fontId="16" fillId="9" borderId="21" xfId="2" applyFont="1" applyFill="1" applyBorder="1" applyAlignment="1">
      <alignment horizontal="center" vertical="center" wrapText="1"/>
    </xf>
    <xf numFmtId="0" fontId="16" fillId="0" borderId="19" xfId="2" applyFont="1" applyFill="1" applyBorder="1" applyAlignment="1">
      <alignment horizontal="right" vertical="center" wrapText="1"/>
    </xf>
    <xf numFmtId="0" fontId="16" fillId="0" borderId="20" xfId="2" applyFont="1" applyFill="1" applyBorder="1" applyAlignment="1">
      <alignment horizontal="right" vertical="center" wrapText="1"/>
    </xf>
    <xf numFmtId="0" fontId="16" fillId="0" borderId="21" xfId="2" applyFont="1" applyFill="1" applyBorder="1" applyAlignment="1">
      <alignment horizontal="right" vertical="center" wrapText="1"/>
    </xf>
    <xf numFmtId="0" fontId="16" fillId="10" borderId="19" xfId="2" applyFont="1" applyFill="1" applyBorder="1" applyAlignment="1">
      <alignment horizontal="center" vertical="center" wrapText="1"/>
    </xf>
    <xf numFmtId="0" fontId="16" fillId="10" borderId="20" xfId="2" applyFont="1" applyFill="1" applyBorder="1" applyAlignment="1">
      <alignment horizontal="center" vertical="center" wrapText="1"/>
    </xf>
    <xf numFmtId="0" fontId="16" fillId="10" borderId="21" xfId="2" applyFont="1" applyFill="1" applyBorder="1" applyAlignment="1">
      <alignment horizontal="center" vertical="center" wrapText="1"/>
    </xf>
    <xf numFmtId="0" fontId="16" fillId="6" borderId="19" xfId="2" applyFont="1" applyFill="1" applyBorder="1" applyAlignment="1">
      <alignment horizontal="center" vertical="center" wrapText="1"/>
    </xf>
    <xf numFmtId="0" fontId="16" fillId="6" borderId="20" xfId="2" applyFont="1" applyFill="1" applyBorder="1" applyAlignment="1">
      <alignment horizontal="center" vertical="center" wrapText="1"/>
    </xf>
    <xf numFmtId="0" fontId="16" fillId="6" borderId="21" xfId="2" applyFont="1" applyFill="1" applyBorder="1" applyAlignment="1">
      <alignment horizontal="center" vertical="center" wrapText="1"/>
    </xf>
    <xf numFmtId="0" fontId="13" fillId="2" borderId="19" xfId="2" applyFont="1" applyFill="1" applyBorder="1" applyAlignment="1">
      <alignment horizontal="center" vertical="center" wrapText="1"/>
    </xf>
    <xf numFmtId="0" fontId="11" fillId="2" borderId="21" xfId="2" applyFont="1" applyFill="1" applyBorder="1" applyAlignment="1">
      <alignment horizontal="center" vertical="center" wrapText="1"/>
    </xf>
    <xf numFmtId="0" fontId="11" fillId="2" borderId="19" xfId="2" applyFont="1" applyFill="1" applyBorder="1" applyAlignment="1">
      <alignment horizontal="left" vertical="center" wrapText="1"/>
    </xf>
    <xf numFmtId="0" fontId="11" fillId="2" borderId="20" xfId="2" applyFont="1" applyFill="1" applyBorder="1" applyAlignment="1">
      <alignment horizontal="left" vertical="center" wrapText="1"/>
    </xf>
    <xf numFmtId="0" fontId="11" fillId="2" borderId="25" xfId="2" applyFont="1" applyFill="1" applyBorder="1" applyAlignment="1">
      <alignment horizontal="left" vertical="center" wrapText="1"/>
    </xf>
    <xf numFmtId="0" fontId="11" fillId="2" borderId="26" xfId="2" applyFont="1" applyFill="1" applyBorder="1" applyAlignment="1">
      <alignment horizontal="left" vertical="center" wrapText="1"/>
    </xf>
    <xf numFmtId="0" fontId="3" fillId="2" borderId="19" xfId="2" applyFill="1" applyBorder="1" applyAlignment="1">
      <alignment horizontal="left" vertical="center" wrapText="1"/>
    </xf>
    <xf numFmtId="0" fontId="3" fillId="2" borderId="21" xfId="2" applyFill="1" applyBorder="1" applyAlignment="1">
      <alignment horizontal="left" vertical="center" wrapText="1"/>
    </xf>
    <xf numFmtId="0" fontId="11" fillId="2" borderId="30" xfId="2" applyFont="1" applyFill="1" applyBorder="1" applyAlignment="1">
      <alignment horizontal="center" vertical="center" wrapText="1"/>
    </xf>
    <xf numFmtId="0" fontId="11" fillId="2" borderId="29" xfId="2" applyFont="1" applyFill="1" applyBorder="1" applyAlignment="1">
      <alignment horizontal="center" vertical="center" wrapText="1"/>
    </xf>
    <xf numFmtId="0" fontId="11" fillId="2" borderId="19" xfId="2" applyFont="1" applyFill="1" applyBorder="1" applyAlignment="1">
      <alignment horizontal="center" vertical="center" wrapText="1"/>
    </xf>
    <xf numFmtId="0" fontId="3" fillId="2" borderId="19" xfId="2" applyFill="1" applyBorder="1" applyAlignment="1">
      <alignment horizontal="center" vertical="center" wrapText="1"/>
    </xf>
    <xf numFmtId="0" fontId="3" fillId="2" borderId="20" xfId="2" applyFill="1" applyBorder="1" applyAlignment="1">
      <alignment horizontal="center" vertical="center" wrapText="1"/>
    </xf>
    <xf numFmtId="0" fontId="3" fillId="2" borderId="21" xfId="2" applyFill="1" applyBorder="1" applyAlignment="1">
      <alignment horizontal="center" vertical="center" wrapText="1"/>
    </xf>
    <xf numFmtId="0" fontId="9" fillId="5" borderId="22" xfId="2" applyFont="1" applyFill="1" applyBorder="1" applyAlignment="1">
      <alignment horizontal="center" vertical="center" wrapText="1"/>
    </xf>
    <xf numFmtId="0" fontId="11" fillId="2" borderId="21" xfId="2" applyFont="1" applyFill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29" fillId="14" borderId="2" xfId="0" applyFont="1" applyFill="1" applyBorder="1" applyAlignment="1">
      <alignment horizontal="center" vertical="center" wrapText="1"/>
    </xf>
    <xf numFmtId="0" fontId="29" fillId="14" borderId="6" xfId="0" applyFont="1" applyFill="1" applyBorder="1" applyAlignment="1">
      <alignment horizontal="center" vertical="center" wrapText="1"/>
    </xf>
    <xf numFmtId="0" fontId="29" fillId="14" borderId="3" xfId="0" applyFont="1" applyFill="1" applyBorder="1" applyAlignment="1">
      <alignment horizontal="center" vertical="center" wrapText="1"/>
    </xf>
    <xf numFmtId="0" fontId="29" fillId="13" borderId="2" xfId="0" applyFont="1" applyFill="1" applyBorder="1" applyAlignment="1">
      <alignment horizontal="center" vertical="center" wrapText="1"/>
    </xf>
    <xf numFmtId="0" fontId="29" fillId="13" borderId="3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top" wrapText="1"/>
    </xf>
    <xf numFmtId="0" fontId="27" fillId="0" borderId="15" xfId="0" applyFont="1" applyBorder="1" applyAlignment="1">
      <alignment horizontal="center" vertical="top" wrapText="1"/>
    </xf>
    <xf numFmtId="0" fontId="28" fillId="0" borderId="14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0" fillId="0" borderId="0" xfId="4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3" borderId="68" xfId="0" applyFont="1" applyFill="1" applyBorder="1" applyAlignment="1">
      <alignment horizontal="center"/>
    </xf>
    <xf numFmtId="0" fontId="2" fillId="3" borderId="69" xfId="0" applyFont="1" applyFill="1" applyBorder="1" applyAlignment="1">
      <alignment horizontal="center"/>
    </xf>
    <xf numFmtId="0" fontId="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3" fillId="0" borderId="10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23" fillId="0" borderId="37" xfId="0" applyFont="1" applyBorder="1" applyAlignment="1">
      <alignment horizontal="right" vertical="center"/>
    </xf>
    <xf numFmtId="2" fontId="7" fillId="0" borderId="22" xfId="2" applyNumberFormat="1" applyFont="1" applyFill="1" applyBorder="1" applyAlignment="1">
      <alignment horizontal="right" vertical="top" shrinkToFit="1"/>
    </xf>
    <xf numFmtId="2" fontId="7" fillId="0" borderId="32" xfId="2" applyNumberFormat="1" applyFont="1" applyFill="1" applyBorder="1" applyAlignment="1">
      <alignment horizontal="right" vertical="top" shrinkToFit="1"/>
    </xf>
    <xf numFmtId="0" fontId="3" fillId="0" borderId="0" xfId="2" applyFill="1" applyBorder="1" applyAlignment="1">
      <alignment horizontal="left" wrapText="1"/>
    </xf>
    <xf numFmtId="4" fontId="8" fillId="0" borderId="49" xfId="2" applyNumberFormat="1" applyFont="1" applyFill="1" applyBorder="1" applyAlignment="1">
      <alignment horizontal="right" vertical="top" shrinkToFit="1"/>
    </xf>
    <xf numFmtId="4" fontId="8" fillId="0" borderId="50" xfId="2" applyNumberFormat="1" applyFont="1" applyFill="1" applyBorder="1" applyAlignment="1">
      <alignment horizontal="right" vertical="top" shrinkToFit="1"/>
    </xf>
    <xf numFmtId="0" fontId="3" fillId="0" borderId="51" xfId="2" applyFill="1" applyBorder="1" applyAlignment="1">
      <alignment horizontal="left" vertical="center" wrapText="1"/>
    </xf>
    <xf numFmtId="0" fontId="5" fillId="0" borderId="36" xfId="2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horizontal="left" vertical="top" wrapText="1"/>
    </xf>
    <xf numFmtId="0" fontId="5" fillId="0" borderId="37" xfId="2" applyFont="1" applyFill="1" applyBorder="1" applyAlignment="1">
      <alignment horizontal="left" vertical="top" wrapText="1"/>
    </xf>
    <xf numFmtId="0" fontId="5" fillId="4" borderId="16" xfId="2" applyFont="1" applyFill="1" applyBorder="1" applyAlignment="1">
      <alignment horizontal="left" vertical="top" wrapText="1" indent="2"/>
    </xf>
    <xf numFmtId="0" fontId="5" fillId="4" borderId="17" xfId="2" applyFont="1" applyFill="1" applyBorder="1" applyAlignment="1">
      <alignment horizontal="left" vertical="top" wrapText="1" indent="2"/>
    </xf>
    <xf numFmtId="4" fontId="7" fillId="0" borderId="25" xfId="2" applyNumberFormat="1" applyFont="1" applyFill="1" applyBorder="1" applyAlignment="1">
      <alignment horizontal="right" vertical="top" shrinkToFit="1"/>
    </xf>
    <xf numFmtId="4" fontId="7" fillId="0" borderId="23" xfId="2" applyNumberFormat="1" applyFont="1" applyFill="1" applyBorder="1" applyAlignment="1">
      <alignment horizontal="right" vertical="top" shrinkToFit="1"/>
    </xf>
    <xf numFmtId="1" fontId="7" fillId="0" borderId="0" xfId="2" applyNumberFormat="1" applyFont="1" applyFill="1" applyBorder="1" applyAlignment="1">
      <alignment horizontal="center" vertical="top" shrinkToFit="1"/>
    </xf>
    <xf numFmtId="2" fontId="7" fillId="0" borderId="0" xfId="2" applyNumberFormat="1" applyFont="1" applyFill="1" applyBorder="1" applyAlignment="1">
      <alignment horizontal="center" vertical="top" shrinkToFit="1"/>
    </xf>
    <xf numFmtId="1" fontId="7" fillId="0" borderId="22" xfId="2" applyNumberFormat="1" applyFont="1" applyFill="1" applyBorder="1" applyAlignment="1">
      <alignment horizontal="center" vertical="top" shrinkToFit="1"/>
    </xf>
    <xf numFmtId="2" fontId="7" fillId="0" borderId="22" xfId="2" applyNumberFormat="1" applyFont="1" applyFill="1" applyBorder="1" applyAlignment="1">
      <alignment horizontal="center" vertical="top" shrinkToFit="1"/>
    </xf>
    <xf numFmtId="0" fontId="3" fillId="0" borderId="25" xfId="2" applyFill="1" applyBorder="1" applyAlignment="1">
      <alignment horizontal="left" wrapText="1"/>
    </xf>
    <xf numFmtId="0" fontId="5" fillId="0" borderId="25" xfId="2" applyFont="1" applyFill="1" applyBorder="1" applyAlignment="1">
      <alignment horizontal="left" vertical="top" wrapText="1" indent="1"/>
    </xf>
    <xf numFmtId="0" fontId="5" fillId="4" borderId="20" xfId="2" applyFont="1" applyFill="1" applyBorder="1" applyAlignment="1">
      <alignment horizontal="right" vertical="top" wrapText="1"/>
    </xf>
    <xf numFmtId="0" fontId="5" fillId="4" borderId="20" xfId="2" applyFont="1" applyFill="1" applyBorder="1" applyAlignment="1">
      <alignment horizontal="left" vertical="top" wrapText="1" indent="1"/>
    </xf>
    <xf numFmtId="1" fontId="7" fillId="0" borderId="25" xfId="2" applyNumberFormat="1" applyFont="1" applyFill="1" applyBorder="1" applyAlignment="1">
      <alignment horizontal="center" vertical="top" shrinkToFit="1"/>
    </xf>
    <xf numFmtId="2" fontId="7" fillId="0" borderId="25" xfId="2" applyNumberFormat="1" applyFont="1" applyFill="1" applyBorder="1" applyAlignment="1">
      <alignment horizontal="center" vertical="top" shrinkToFit="1"/>
    </xf>
    <xf numFmtId="0" fontId="6" fillId="0" borderId="22" xfId="2" applyFont="1" applyFill="1" applyBorder="1" applyAlignment="1">
      <alignment horizontal="left" vertical="top" wrapText="1" indent="1"/>
    </xf>
    <xf numFmtId="1" fontId="7" fillId="0" borderId="22" xfId="2" applyNumberFormat="1" applyFont="1" applyFill="1" applyBorder="1" applyAlignment="1">
      <alignment horizontal="right" vertical="top" indent="2" shrinkToFit="1"/>
    </xf>
    <xf numFmtId="168" fontId="7" fillId="0" borderId="0" xfId="2" applyNumberFormat="1" applyFont="1" applyFill="1" applyBorder="1" applyAlignment="1">
      <alignment horizontal="center" vertical="top" shrinkToFit="1"/>
    </xf>
    <xf numFmtId="0" fontId="5" fillId="0" borderId="45" xfId="2" applyFont="1" applyFill="1" applyBorder="1" applyAlignment="1">
      <alignment horizontal="right" vertical="top" wrapText="1"/>
    </xf>
    <xf numFmtId="0" fontId="5" fillId="0" borderId="20" xfId="2" applyFont="1" applyFill="1" applyBorder="1" applyAlignment="1">
      <alignment horizontal="right" vertical="top" wrapText="1"/>
    </xf>
    <xf numFmtId="0" fontId="6" fillId="0" borderId="45" xfId="2" applyFont="1" applyFill="1" applyBorder="1" applyAlignment="1">
      <alignment horizontal="left" vertical="top" wrapText="1"/>
    </xf>
    <xf numFmtId="0" fontId="3" fillId="0" borderId="20" xfId="2" applyFill="1" applyBorder="1" applyAlignment="1">
      <alignment horizontal="left" vertical="top" wrapText="1"/>
    </xf>
    <xf numFmtId="0" fontId="3" fillId="0" borderId="41" xfId="2" applyFill="1" applyBorder="1" applyAlignment="1">
      <alignment horizontal="left" vertical="top" wrapText="1"/>
    </xf>
    <xf numFmtId="0" fontId="6" fillId="0" borderId="0" xfId="2" applyFont="1" applyFill="1" applyBorder="1" applyAlignment="1">
      <alignment horizontal="left" vertical="top" wrapText="1" indent="1"/>
    </xf>
    <xf numFmtId="1" fontId="7" fillId="0" borderId="0" xfId="2" applyNumberFormat="1" applyFont="1" applyFill="1" applyBorder="1" applyAlignment="1">
      <alignment horizontal="right" vertical="top" indent="2" shrinkToFit="1"/>
    </xf>
    <xf numFmtId="0" fontId="5" fillId="0" borderId="36" xfId="2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left" vertical="top"/>
    </xf>
    <xf numFmtId="0" fontId="5" fillId="0" borderId="37" xfId="2" applyFont="1" applyFill="1" applyBorder="1" applyAlignment="1">
      <alignment horizontal="left" vertical="top"/>
    </xf>
    <xf numFmtId="0" fontId="5" fillId="4" borderId="42" xfId="2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top"/>
    </xf>
    <xf numFmtId="0" fontId="5" fillId="3" borderId="43" xfId="2" applyFont="1" applyFill="1" applyBorder="1" applyAlignment="1">
      <alignment horizontal="center" vertical="top"/>
    </xf>
    <xf numFmtId="0" fontId="4" fillId="4" borderId="39" xfId="2" applyFont="1" applyFill="1" applyBorder="1" applyAlignment="1">
      <alignment horizontal="center" vertical="top" wrapText="1"/>
    </xf>
    <xf numFmtId="0" fontId="4" fillId="4" borderId="16" xfId="2" applyFont="1" applyFill="1" applyBorder="1" applyAlignment="1">
      <alignment horizontal="center" vertical="top" wrapText="1"/>
    </xf>
    <xf numFmtId="0" fontId="4" fillId="4" borderId="40" xfId="2" applyFont="1" applyFill="1" applyBorder="1" applyAlignment="1">
      <alignment horizontal="center" vertical="top" wrapText="1"/>
    </xf>
    <xf numFmtId="0" fontId="3" fillId="0" borderId="36" xfId="2" applyFill="1" applyBorder="1" applyAlignment="1">
      <alignment horizontal="left" vertical="top" wrapText="1"/>
    </xf>
    <xf numFmtId="0" fontId="3" fillId="0" borderId="0" xfId="2" applyFill="1" applyBorder="1" applyAlignment="1">
      <alignment horizontal="left" vertical="top" wrapText="1"/>
    </xf>
    <xf numFmtId="0" fontId="3" fillId="0" borderId="18" xfId="2" applyFill="1" applyBorder="1" applyAlignment="1">
      <alignment horizontal="left" vertical="top" wrapText="1"/>
    </xf>
    <xf numFmtId="0" fontId="3" fillId="0" borderId="19" xfId="2" applyFill="1" applyBorder="1" applyAlignment="1">
      <alignment horizontal="center" vertical="top" wrapText="1"/>
    </xf>
    <xf numFmtId="0" fontId="3" fillId="0" borderId="20" xfId="2" applyFill="1" applyBorder="1" applyAlignment="1">
      <alignment horizontal="center" vertical="top" wrapText="1"/>
    </xf>
    <xf numFmtId="0" fontId="3" fillId="0" borderId="21" xfId="2" applyFill="1" applyBorder="1" applyAlignment="1">
      <alignment horizontal="center" vertical="top" wrapText="1"/>
    </xf>
    <xf numFmtId="0" fontId="5" fillId="0" borderId="19" xfId="2" applyFont="1" applyFill="1" applyBorder="1" applyAlignment="1">
      <alignment horizontal="center" vertical="top" wrapText="1"/>
    </xf>
    <xf numFmtId="0" fontId="5" fillId="0" borderId="41" xfId="2" applyFont="1" applyFill="1" applyBorder="1" applyAlignment="1">
      <alignment horizontal="center" vertical="top" wrapText="1"/>
    </xf>
    <xf numFmtId="0" fontId="3" fillId="0" borderId="19" xfId="2" applyFill="1" applyBorder="1" applyAlignment="1">
      <alignment horizontal="left" vertical="top" wrapText="1" indent="1"/>
    </xf>
    <xf numFmtId="0" fontId="3" fillId="0" borderId="20" xfId="2" applyFill="1" applyBorder="1" applyAlignment="1">
      <alignment horizontal="left" vertical="top" wrapText="1" indent="1"/>
    </xf>
    <xf numFmtId="0" fontId="3" fillId="0" borderId="21" xfId="2" applyFill="1" applyBorder="1" applyAlignment="1">
      <alignment horizontal="left" vertical="top" wrapText="1" indent="1"/>
    </xf>
  </cellXfs>
  <cellStyles count="5">
    <cellStyle name="Normal" xfId="0" builtinId="0"/>
    <cellStyle name="Normal 2" xfId="4"/>
    <cellStyle name="Normal 3" xfId="2"/>
    <cellStyle name="Porcentagem" xfId="1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417996</xdr:colOff>
      <xdr:row>3</xdr:row>
      <xdr:rowOff>67733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0"/>
          <a:ext cx="417996" cy="6487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417996</xdr:colOff>
      <xdr:row>3</xdr:row>
      <xdr:rowOff>67733</xdr:rowOff>
    </xdr:to>
    <xdr:pic>
      <xdr:nvPicPr>
        <xdr:cNvPr id="4" name="image1.jpe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0"/>
          <a:ext cx="417996" cy="6487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417996</xdr:colOff>
      <xdr:row>3</xdr:row>
      <xdr:rowOff>58208</xdr:rowOff>
    </xdr:to>
    <xdr:pic>
      <xdr:nvPicPr>
        <xdr:cNvPr id="4" name="image1.jpeg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7996" cy="6487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141771</xdr:colOff>
      <xdr:row>3</xdr:row>
      <xdr:rowOff>20108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0"/>
          <a:ext cx="417996" cy="6392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19050</xdr:rowOff>
    </xdr:from>
    <xdr:to>
      <xdr:col>1</xdr:col>
      <xdr:colOff>140714</xdr:colOff>
      <xdr:row>2</xdr:row>
      <xdr:rowOff>180975</xdr:rowOff>
    </xdr:to>
    <xdr:pic>
      <xdr:nvPicPr>
        <xdr:cNvPr id="8" name="image1.jpeg">
          <a:extLst>
            <a:ext uri="{FF2B5EF4-FFF2-40B4-BE49-F238E27FC236}">
              <a16:creationId xmlns:a16="http://schemas.microsoft.com/office/drawing/2014/main" xmlns="" id="{BD24371E-B818-41B1-A067-6C11021B8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9050"/>
          <a:ext cx="416938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19051</xdr:colOff>
      <xdr:row>0</xdr:row>
      <xdr:rowOff>19050</xdr:rowOff>
    </xdr:from>
    <xdr:to>
      <xdr:col>1</xdr:col>
      <xdr:colOff>140714</xdr:colOff>
      <xdr:row>2</xdr:row>
      <xdr:rowOff>180975</xdr:rowOff>
    </xdr:to>
    <xdr:pic>
      <xdr:nvPicPr>
        <xdr:cNvPr id="3" name="image1.jpeg">
          <a:extLst>
            <a:ext uri="{FF2B5EF4-FFF2-40B4-BE49-F238E27FC236}">
              <a16:creationId xmlns:a16="http://schemas.microsoft.com/office/drawing/2014/main" xmlns="" id="{938459CA-4643-4519-91B3-C1EA6C481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9050"/>
          <a:ext cx="416938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19051</xdr:colOff>
      <xdr:row>0</xdr:row>
      <xdr:rowOff>19050</xdr:rowOff>
    </xdr:from>
    <xdr:to>
      <xdr:col>1</xdr:col>
      <xdr:colOff>140714</xdr:colOff>
      <xdr:row>2</xdr:row>
      <xdr:rowOff>104775</xdr:rowOff>
    </xdr:to>
    <xdr:pic>
      <xdr:nvPicPr>
        <xdr:cNvPr id="4" name="image1.jpeg">
          <a:extLst>
            <a:ext uri="{FF2B5EF4-FFF2-40B4-BE49-F238E27FC236}">
              <a16:creationId xmlns:a16="http://schemas.microsoft.com/office/drawing/2014/main" xmlns="" id="{886B0B62-C290-4031-849F-7FB07173C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9050"/>
          <a:ext cx="416938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19051</xdr:colOff>
      <xdr:row>0</xdr:row>
      <xdr:rowOff>19050</xdr:rowOff>
    </xdr:from>
    <xdr:to>
      <xdr:col>1</xdr:col>
      <xdr:colOff>140714</xdr:colOff>
      <xdr:row>2</xdr:row>
      <xdr:rowOff>28575</xdr:rowOff>
    </xdr:to>
    <xdr:pic>
      <xdr:nvPicPr>
        <xdr:cNvPr id="5" name="image1.jpeg">
          <a:extLst>
            <a:ext uri="{FF2B5EF4-FFF2-40B4-BE49-F238E27FC236}">
              <a16:creationId xmlns:a16="http://schemas.microsoft.com/office/drawing/2014/main" xmlns="" id="{8A1E4A65-8218-41C2-8437-760741E6A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9050"/>
          <a:ext cx="416938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19051</xdr:colOff>
      <xdr:row>0</xdr:row>
      <xdr:rowOff>19050</xdr:rowOff>
    </xdr:from>
    <xdr:to>
      <xdr:col>1</xdr:col>
      <xdr:colOff>140714</xdr:colOff>
      <xdr:row>2</xdr:row>
      <xdr:rowOff>26458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xmlns="" id="{5984DBE3-B115-42CC-9407-24F1EB27A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9050"/>
          <a:ext cx="416938" cy="493183"/>
        </a:xfrm>
        <a:prstGeom prst="rect">
          <a:avLst/>
        </a:prstGeom>
      </xdr:spPr>
    </xdr:pic>
    <xdr:clientData/>
  </xdr:twoCellAnchor>
  <xdr:twoCellAnchor editAs="oneCell">
    <xdr:from>
      <xdr:col>0</xdr:col>
      <xdr:colOff>19051</xdr:colOff>
      <xdr:row>0</xdr:row>
      <xdr:rowOff>19050</xdr:rowOff>
    </xdr:from>
    <xdr:to>
      <xdr:col>1</xdr:col>
      <xdr:colOff>140714</xdr:colOff>
      <xdr:row>2</xdr:row>
      <xdr:rowOff>104775</xdr:rowOff>
    </xdr:to>
    <xdr:pic>
      <xdr:nvPicPr>
        <xdr:cNvPr id="10" name="image1.jpeg">
          <a:extLst>
            <a:ext uri="{FF2B5EF4-FFF2-40B4-BE49-F238E27FC236}">
              <a16:creationId xmlns:a16="http://schemas.microsoft.com/office/drawing/2014/main" xmlns="" id="{88CD83BD-B06C-4B49-A586-07561DAF4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9050"/>
          <a:ext cx="416938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19051</xdr:colOff>
      <xdr:row>0</xdr:row>
      <xdr:rowOff>19050</xdr:rowOff>
    </xdr:from>
    <xdr:to>
      <xdr:col>1</xdr:col>
      <xdr:colOff>140714</xdr:colOff>
      <xdr:row>2</xdr:row>
      <xdr:rowOff>102658</xdr:rowOff>
    </xdr:to>
    <xdr:pic>
      <xdr:nvPicPr>
        <xdr:cNvPr id="11" name="image1.jpeg">
          <a:extLst>
            <a:ext uri="{FF2B5EF4-FFF2-40B4-BE49-F238E27FC236}">
              <a16:creationId xmlns:a16="http://schemas.microsoft.com/office/drawing/2014/main" xmlns="" id="{67DC2EC2-CEB9-4F62-966B-A11E5A113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9050"/>
          <a:ext cx="416938" cy="5693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409127</xdr:colOff>
      <xdr:row>0</xdr:row>
      <xdr:rowOff>76201</xdr:rowOff>
    </xdr:from>
    <xdr:to>
      <xdr:col>2</xdr:col>
      <xdr:colOff>1019174</xdr:colOff>
      <xdr:row>3</xdr:row>
      <xdr:rowOff>152400</xdr:rowOff>
    </xdr:to>
    <xdr:pic>
      <xdr:nvPicPr>
        <xdr:cNvPr id="4" name="image1.jpeg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885752" y="76201"/>
          <a:ext cx="610047" cy="647699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22</xdr:row>
      <xdr:rowOff>57150</xdr:rowOff>
    </xdr:from>
    <xdr:to>
      <xdr:col>2</xdr:col>
      <xdr:colOff>1047750</xdr:colOff>
      <xdr:row>25</xdr:row>
      <xdr:rowOff>152400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FDE68E18-BFBD-413C-9BD7-F3C3F4BA1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4305300"/>
          <a:ext cx="35337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1522</xdr:colOff>
      <xdr:row>33</xdr:row>
      <xdr:rowOff>0</xdr:rowOff>
    </xdr:from>
    <xdr:ext cx="6103620" cy="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611122" y="6076950"/>
          <a:ext cx="6103620" cy="0"/>
        </a:xfrm>
        <a:custGeom>
          <a:avLst/>
          <a:gdLst/>
          <a:ahLst/>
          <a:cxnLst/>
          <a:rect l="0" t="0" r="0" b="0"/>
          <a:pathLst>
            <a:path w="6103620">
              <a:moveTo>
                <a:pt x="0" y="0"/>
              </a:moveTo>
              <a:lnTo>
                <a:pt x="6103620" y="0"/>
              </a:lnTo>
            </a:path>
          </a:pathLst>
        </a:custGeom>
        <a:ln w="9142">
          <a:solidFill>
            <a:srgbClr val="000000"/>
          </a:solidFill>
        </a:ln>
      </xdr:spPr>
    </xdr:sp>
    <xdr:clientData/>
  </xdr:oneCellAnchor>
  <xdr:twoCellAnchor editAs="oneCell">
    <xdr:from>
      <xdr:col>1</xdr:col>
      <xdr:colOff>190502</xdr:colOff>
      <xdr:row>0</xdr:row>
      <xdr:rowOff>123826</xdr:rowOff>
    </xdr:from>
    <xdr:to>
      <xdr:col>2</xdr:col>
      <xdr:colOff>171451</xdr:colOff>
      <xdr:row>4</xdr:row>
      <xdr:rowOff>161926</xdr:rowOff>
    </xdr:to>
    <xdr:pic>
      <xdr:nvPicPr>
        <xdr:cNvPr id="3" name="image1.jpeg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2" y="123826"/>
          <a:ext cx="581024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A22" workbookViewId="0">
      <selection activeCell="I36" sqref="I36"/>
    </sheetView>
  </sheetViews>
  <sheetFormatPr defaultRowHeight="15"/>
  <cols>
    <col min="1" max="1" width="9.140625" style="3"/>
    <col min="2" max="2" width="10.28515625" style="4" bestFit="1" customWidth="1"/>
    <col min="3" max="3" width="64.5703125" style="3" customWidth="1"/>
    <col min="4" max="4" width="10.28515625" style="4" customWidth="1"/>
    <col min="5" max="5" width="11.140625" style="16" bestFit="1" customWidth="1"/>
    <col min="6" max="6" width="10.28515625" style="5" customWidth="1"/>
    <col min="7" max="7" width="15.85546875" style="6" bestFit="1" customWidth="1"/>
    <col min="8" max="8" width="10.28515625" style="5" customWidth="1"/>
    <col min="9" max="9" width="14.7109375" style="5" customWidth="1"/>
    <col min="10" max="10" width="12.7109375" style="4" bestFit="1" customWidth="1"/>
    <col min="11" max="12" width="11.7109375" style="4" bestFit="1" customWidth="1"/>
    <col min="13" max="13" width="10.140625" style="3" bestFit="1" customWidth="1"/>
    <col min="14" max="14" width="15.85546875" style="3" bestFit="1" customWidth="1"/>
    <col min="15" max="15" width="11.7109375" bestFit="1" customWidth="1"/>
    <col min="16" max="16" width="10.140625" bestFit="1" customWidth="1"/>
  </cols>
  <sheetData>
    <row r="1" spans="2:14" ht="15.75">
      <c r="C1" s="251" t="s">
        <v>236</v>
      </c>
      <c r="D1" s="251"/>
      <c r="E1" s="251"/>
      <c r="F1" s="251"/>
      <c r="G1" s="251"/>
      <c r="H1" s="251"/>
      <c r="I1" s="251"/>
      <c r="J1" s="251"/>
    </row>
    <row r="2" spans="2:14">
      <c r="C2" s="248" t="s">
        <v>237</v>
      </c>
      <c r="D2" s="248"/>
      <c r="E2" s="248"/>
      <c r="F2" s="248"/>
      <c r="G2" s="250" t="s">
        <v>1</v>
      </c>
      <c r="H2" s="250"/>
      <c r="I2" s="261">
        <f>BDI!C21</f>
        <v>0.29120000000000001</v>
      </c>
      <c r="J2" s="262"/>
    </row>
    <row r="3" spans="2:14">
      <c r="C3" s="248"/>
      <c r="D3" s="248"/>
      <c r="E3" s="248"/>
      <c r="F3" s="248"/>
      <c r="G3" s="250" t="s">
        <v>2</v>
      </c>
      <c r="H3" s="250"/>
      <c r="I3" s="263">
        <v>0.15</v>
      </c>
      <c r="J3" s="264"/>
    </row>
    <row r="4" spans="2:14">
      <c r="C4" s="249"/>
      <c r="D4" s="249"/>
      <c r="E4" s="249"/>
      <c r="F4" s="249"/>
      <c r="G4" s="250" t="s">
        <v>188</v>
      </c>
      <c r="H4" s="250"/>
      <c r="I4" s="118">
        <v>6</v>
      </c>
      <c r="J4" s="95" t="s">
        <v>187</v>
      </c>
    </row>
    <row r="5" spans="2:14">
      <c r="B5" s="21" t="s">
        <v>25</v>
      </c>
      <c r="C5" s="256" t="s">
        <v>256</v>
      </c>
      <c r="D5" s="256"/>
      <c r="E5" s="256"/>
      <c r="F5" s="256"/>
      <c r="H5" s="22" t="s">
        <v>22</v>
      </c>
      <c r="I5" s="254" t="s">
        <v>23</v>
      </c>
      <c r="J5" s="255"/>
    </row>
    <row r="6" spans="2:14">
      <c r="B6" s="23" t="s">
        <v>24</v>
      </c>
      <c r="C6" s="257" t="s">
        <v>26</v>
      </c>
      <c r="D6" s="257"/>
      <c r="E6" s="257"/>
      <c r="F6" s="257"/>
      <c r="H6" s="24" t="s">
        <v>21</v>
      </c>
      <c r="I6" s="252">
        <v>44105</v>
      </c>
      <c r="J6" s="253"/>
    </row>
    <row r="7" spans="2:14">
      <c r="B7" s="258" t="s">
        <v>3</v>
      </c>
      <c r="C7" s="258" t="s">
        <v>4</v>
      </c>
      <c r="D7" s="258" t="s">
        <v>5</v>
      </c>
      <c r="E7" s="259" t="s">
        <v>6</v>
      </c>
      <c r="F7" s="14" t="s">
        <v>7</v>
      </c>
      <c r="G7" s="260" t="s">
        <v>1</v>
      </c>
      <c r="H7" s="14" t="s">
        <v>8</v>
      </c>
      <c r="I7" s="14" t="s">
        <v>8</v>
      </c>
      <c r="J7" s="245" t="s">
        <v>43</v>
      </c>
    </row>
    <row r="8" spans="2:14">
      <c r="B8" s="258"/>
      <c r="C8" s="258"/>
      <c r="D8" s="258"/>
      <c r="E8" s="259"/>
      <c r="F8" s="15" t="s">
        <v>9</v>
      </c>
      <c r="G8" s="260"/>
      <c r="H8" s="15" t="s">
        <v>9</v>
      </c>
      <c r="I8" s="15" t="s">
        <v>10</v>
      </c>
      <c r="J8" s="246"/>
    </row>
    <row r="9" spans="2:14">
      <c r="C9" s="12"/>
      <c r="N9"/>
    </row>
    <row r="10" spans="2:14">
      <c r="B10" s="183"/>
      <c r="C10" s="12" t="s">
        <v>244</v>
      </c>
      <c r="D10" s="183"/>
      <c r="J10" s="183"/>
      <c r="K10" s="183"/>
      <c r="L10" s="183"/>
      <c r="N10"/>
    </row>
    <row r="11" spans="2:14">
      <c r="B11" s="184">
        <v>4011479</v>
      </c>
      <c r="C11" s="8" t="s">
        <v>245</v>
      </c>
      <c r="D11" s="184" t="s">
        <v>246</v>
      </c>
      <c r="E11" s="25">
        <f>TRUNC(E14/2.4,3)</f>
        <v>1175.97</v>
      </c>
      <c r="F11" s="9">
        <v>37.99</v>
      </c>
      <c r="G11" s="10">
        <f>I2</f>
        <v>0.29120000000000001</v>
      </c>
      <c r="H11" s="11">
        <f>TRUNC(F11*(1+G11),2)</f>
        <v>49.05</v>
      </c>
      <c r="I11" s="96">
        <f>TRUNC(H11*E11,2)</f>
        <v>57681.32</v>
      </c>
      <c r="J11" s="171">
        <f>I11/$I$40</f>
        <v>0.36349811285274203</v>
      </c>
      <c r="K11" s="183"/>
      <c r="L11" s="183"/>
    </row>
    <row r="12" spans="2:14">
      <c r="B12" s="184">
        <v>4011353</v>
      </c>
      <c r="C12" s="8" t="s">
        <v>12</v>
      </c>
      <c r="D12" s="184" t="s">
        <v>11</v>
      </c>
      <c r="E12" s="17">
        <v>15749.61</v>
      </c>
      <c r="F12" s="9">
        <v>0.15</v>
      </c>
      <c r="G12" s="10">
        <f>I2</f>
        <v>0.29120000000000001</v>
      </c>
      <c r="H12" s="11">
        <f t="shared" ref="H12:H15" si="0">TRUNC(F12*(1+G12),2)</f>
        <v>0.19</v>
      </c>
      <c r="I12" s="96">
        <f t="shared" ref="I12:I15" si="1">TRUNC(H12*E12,2)</f>
        <v>2992.42</v>
      </c>
      <c r="J12" s="171">
        <f>I12/$I$40</f>
        <v>1.8857734581365377E-2</v>
      </c>
      <c r="K12" s="183"/>
      <c r="L12" s="183"/>
    </row>
    <row r="13" spans="2:14">
      <c r="B13" s="184"/>
      <c r="C13" s="8" t="s">
        <v>227</v>
      </c>
      <c r="D13" s="184" t="s">
        <v>0</v>
      </c>
      <c r="E13" s="25">
        <f>TRUNC(E12*0.00045,3)</f>
        <v>7.0869999999999997</v>
      </c>
      <c r="F13" s="11">
        <f>Ligantes!M24</f>
        <v>2953.64</v>
      </c>
      <c r="G13" s="10">
        <f>I3</f>
        <v>0.15</v>
      </c>
      <c r="H13" s="11">
        <f t="shared" si="0"/>
        <v>3396.68</v>
      </c>
      <c r="I13" s="96">
        <f t="shared" si="1"/>
        <v>24072.27</v>
      </c>
      <c r="J13" s="171">
        <f>I13/$I$40</f>
        <v>0.15169945342931951</v>
      </c>
      <c r="K13" s="183"/>
      <c r="L13" s="183"/>
      <c r="N13"/>
    </row>
    <row r="14" spans="2:14">
      <c r="B14" s="184">
        <v>4011463</v>
      </c>
      <c r="C14" s="8" t="s">
        <v>191</v>
      </c>
      <c r="D14" s="184" t="s">
        <v>0</v>
      </c>
      <c r="E14" s="17">
        <v>2822.33</v>
      </c>
      <c r="F14" s="9">
        <v>111.06</v>
      </c>
      <c r="G14" s="10">
        <f>I2</f>
        <v>0.29120000000000001</v>
      </c>
      <c r="H14" s="11">
        <f t="shared" si="0"/>
        <v>143.4</v>
      </c>
      <c r="I14" s="96">
        <f t="shared" si="1"/>
        <v>404722.12</v>
      </c>
      <c r="J14" s="171">
        <f>I14/$I$40</f>
        <v>2.5504916817049437</v>
      </c>
      <c r="K14" s="5"/>
      <c r="L14" s="164"/>
      <c r="N14"/>
    </row>
    <row r="15" spans="2:14">
      <c r="B15" s="184"/>
      <c r="C15" s="8" t="s">
        <v>226</v>
      </c>
      <c r="D15" s="184" t="s">
        <v>0</v>
      </c>
      <c r="E15" s="17">
        <f>TRUNC(0.056*E14,3)</f>
        <v>158.05000000000001</v>
      </c>
      <c r="F15" s="11">
        <f>Ligantes!M22</f>
        <v>3688.12</v>
      </c>
      <c r="G15" s="10">
        <f>I3</f>
        <v>0.15</v>
      </c>
      <c r="H15" s="11">
        <f t="shared" si="0"/>
        <v>4241.33</v>
      </c>
      <c r="I15" s="96">
        <f t="shared" si="1"/>
        <v>670342.19999999995</v>
      </c>
      <c r="J15" s="171">
        <f>I15/$I$40</f>
        <v>4.2243853758124006</v>
      </c>
      <c r="K15" s="183"/>
      <c r="L15" s="183"/>
      <c r="N15"/>
    </row>
    <row r="16" spans="2:14">
      <c r="B16" s="247" t="s">
        <v>19</v>
      </c>
      <c r="C16" s="247"/>
      <c r="D16" s="247"/>
      <c r="E16" s="247"/>
      <c r="F16" s="247"/>
      <c r="G16" s="247"/>
      <c r="H16" s="247"/>
      <c r="I16" s="97">
        <f>SUBTOTAL(9,I11:I15)</f>
        <v>1159810.33</v>
      </c>
      <c r="J16" s="170">
        <f>I16/$I$42</f>
        <v>0.22086805066925422</v>
      </c>
      <c r="K16" s="183"/>
      <c r="L16" s="183"/>
      <c r="N16"/>
    </row>
    <row r="17" spans="2:17" hidden="1">
      <c r="B17" s="184"/>
      <c r="C17" s="8"/>
      <c r="D17" s="184"/>
      <c r="E17" s="173"/>
      <c r="F17" s="9"/>
      <c r="G17" s="10"/>
      <c r="H17" s="11"/>
      <c r="I17" s="96"/>
      <c r="J17" s="171"/>
      <c r="K17" s="183"/>
      <c r="L17" s="183"/>
    </row>
    <row r="18" spans="2:17" hidden="1">
      <c r="B18" s="184"/>
      <c r="C18" s="8"/>
      <c r="D18" s="184"/>
      <c r="E18" s="173"/>
      <c r="F18" s="9"/>
      <c r="G18" s="10"/>
      <c r="H18" s="11"/>
      <c r="I18" s="96"/>
      <c r="J18" s="171"/>
      <c r="K18" s="5"/>
      <c r="L18" s="164"/>
      <c r="N18"/>
    </row>
    <row r="19" spans="2:17">
      <c r="B19" s="183"/>
      <c r="C19" s="12" t="s">
        <v>247</v>
      </c>
      <c r="D19" s="183"/>
      <c r="I19" s="98"/>
      <c r="J19" s="183"/>
      <c r="K19" s="183"/>
      <c r="L19" s="183"/>
    </row>
    <row r="20" spans="2:17">
      <c r="B20" s="184">
        <v>4011352</v>
      </c>
      <c r="C20" s="8" t="s">
        <v>20</v>
      </c>
      <c r="D20" s="184" t="s">
        <v>11</v>
      </c>
      <c r="E20" s="17">
        <v>77800.91</v>
      </c>
      <c r="F20" s="9">
        <v>0.22</v>
      </c>
      <c r="G20" s="10">
        <f>I2</f>
        <v>0.29120000000000001</v>
      </c>
      <c r="H20" s="11">
        <f>TRUNC(F20*(1+G20),2)</f>
        <v>0.28000000000000003</v>
      </c>
      <c r="I20" s="96">
        <f>TRUNC(H20*E20,2)</f>
        <v>21784.25</v>
      </c>
      <c r="J20" s="171">
        <f t="shared" ref="J20:J25" si="2">I20/$I$44</f>
        <v>4.1484755811682598E-3</v>
      </c>
      <c r="K20" s="183"/>
      <c r="L20" s="183"/>
    </row>
    <row r="21" spans="2:17">
      <c r="B21" s="184"/>
      <c r="C21" s="8" t="s">
        <v>228</v>
      </c>
      <c r="D21" s="184" t="s">
        <v>0</v>
      </c>
      <c r="E21" s="17">
        <f>TRUNC(0.0013*E20,3)</f>
        <v>101.14100000000001</v>
      </c>
      <c r="F21" s="11">
        <f>Ligantes!M23</f>
        <v>5332.9</v>
      </c>
      <c r="G21" s="10">
        <f>I3</f>
        <v>0.15</v>
      </c>
      <c r="H21" s="11">
        <f t="shared" ref="H21:H25" si="3">TRUNC(F21*(1+G21),2)</f>
        <v>6132.83</v>
      </c>
      <c r="I21" s="96">
        <f t="shared" ref="I21:I25" si="4">TRUNC(H21*E21,2)</f>
        <v>620280.55000000005</v>
      </c>
      <c r="J21" s="171">
        <f t="shared" si="2"/>
        <v>0.11812289682447721</v>
      </c>
      <c r="K21" s="183"/>
      <c r="L21" s="183"/>
    </row>
    <row r="22" spans="2:17">
      <c r="B22" s="184">
        <v>4011353</v>
      </c>
      <c r="C22" s="8" t="s">
        <v>12</v>
      </c>
      <c r="D22" s="184" t="s">
        <v>11</v>
      </c>
      <c r="E22" s="17">
        <f>E20</f>
        <v>77800.91</v>
      </c>
      <c r="F22" s="11">
        <v>0.15</v>
      </c>
      <c r="G22" s="10">
        <v>0.3049719431032234</v>
      </c>
      <c r="H22" s="11">
        <f t="shared" si="3"/>
        <v>0.19</v>
      </c>
      <c r="I22" s="96">
        <f t="shared" si="4"/>
        <v>14782.17</v>
      </c>
      <c r="J22" s="171">
        <f t="shared" si="2"/>
        <v>2.8150370695194009E-3</v>
      </c>
      <c r="K22" s="183"/>
      <c r="L22" s="16"/>
      <c r="N22" s="27"/>
    </row>
    <row r="23" spans="2:17">
      <c r="B23" s="119"/>
      <c r="C23" s="8" t="s">
        <v>227</v>
      </c>
      <c r="D23" s="119" t="s">
        <v>0</v>
      </c>
      <c r="E23" s="25">
        <f>TRUNC(E22*0.00045,3)</f>
        <v>35.01</v>
      </c>
      <c r="F23" s="11">
        <f>Ligantes!M24</f>
        <v>2953.64</v>
      </c>
      <c r="G23" s="10">
        <v>0.15</v>
      </c>
      <c r="H23" s="11">
        <f t="shared" si="3"/>
        <v>3396.68</v>
      </c>
      <c r="I23" s="96">
        <f t="shared" si="4"/>
        <v>118917.75999999999</v>
      </c>
      <c r="J23" s="171">
        <f t="shared" si="2"/>
        <v>2.2646059585582592E-2</v>
      </c>
      <c r="K23" s="16"/>
      <c r="L23" s="16"/>
    </row>
    <row r="24" spans="2:17">
      <c r="B24" s="7">
        <v>4011463</v>
      </c>
      <c r="C24" s="8" t="s">
        <v>191</v>
      </c>
      <c r="D24" s="7" t="s">
        <v>0</v>
      </c>
      <c r="E24" s="17">
        <v>7961.3649999999998</v>
      </c>
      <c r="F24" s="9">
        <v>111.06</v>
      </c>
      <c r="G24" s="10">
        <f>I2</f>
        <v>0.29120000000000001</v>
      </c>
      <c r="H24" s="11">
        <f t="shared" si="3"/>
        <v>143.4</v>
      </c>
      <c r="I24" s="96">
        <f t="shared" si="4"/>
        <v>1141659.74</v>
      </c>
      <c r="J24" s="171">
        <f t="shared" si="2"/>
        <v>0.21741154978449587</v>
      </c>
    </row>
    <row r="25" spans="2:17">
      <c r="B25" s="7"/>
      <c r="C25" s="8" t="s">
        <v>226</v>
      </c>
      <c r="D25" s="7" t="s">
        <v>0</v>
      </c>
      <c r="E25" s="17">
        <f>TRUNC(0.056*E24,3)</f>
        <v>445.83600000000001</v>
      </c>
      <c r="F25" s="11">
        <f>Ligantes!M22</f>
        <v>3688.12</v>
      </c>
      <c r="G25" s="10">
        <f>I3</f>
        <v>0.15</v>
      </c>
      <c r="H25" s="11">
        <f t="shared" si="3"/>
        <v>4241.33</v>
      </c>
      <c r="I25" s="96">
        <f t="shared" si="4"/>
        <v>1890937.6</v>
      </c>
      <c r="J25" s="171">
        <f t="shared" si="2"/>
        <v>0.36010000156594396</v>
      </c>
      <c r="L25" s="16"/>
    </row>
    <row r="26" spans="2:17">
      <c r="B26" s="247" t="s">
        <v>19</v>
      </c>
      <c r="C26" s="247"/>
      <c r="D26" s="247"/>
      <c r="E26" s="247"/>
      <c r="F26" s="247"/>
      <c r="G26" s="247"/>
      <c r="H26" s="247"/>
      <c r="I26" s="97">
        <f>SUBTOTAL(9,I20:I25)</f>
        <v>3808362.0700000003</v>
      </c>
      <c r="J26" s="170">
        <f t="shared" ref="J26" si="5">I26/$I$44</f>
        <v>0.7252440204111873</v>
      </c>
    </row>
    <row r="27" spans="2:17">
      <c r="C27" s="12" t="s">
        <v>248</v>
      </c>
      <c r="I27" s="98"/>
      <c r="O27" s="163"/>
    </row>
    <row r="28" spans="2:17">
      <c r="B28" s="7">
        <v>5212556</v>
      </c>
      <c r="C28" s="26" t="s">
        <v>395</v>
      </c>
      <c r="D28" s="7" t="s">
        <v>40</v>
      </c>
      <c r="E28" s="17">
        <v>10</v>
      </c>
      <c r="F28" s="9">
        <v>41.85</v>
      </c>
      <c r="G28" s="10">
        <f>I2</f>
        <v>0.29120000000000001</v>
      </c>
      <c r="H28" s="11">
        <f>TRUNC(F28*(1+G28),2)</f>
        <v>54.03</v>
      </c>
      <c r="I28" s="96">
        <f>TRUNC(H28*E28,2)</f>
        <v>540.29999999999995</v>
      </c>
      <c r="J28" s="171">
        <f>I28/$I$44</f>
        <v>1.0289183040523362E-4</v>
      </c>
      <c r="L28" s="5"/>
      <c r="Q28" s="165"/>
    </row>
    <row r="29" spans="2:17" ht="30">
      <c r="B29" s="7">
        <v>5213835</v>
      </c>
      <c r="C29" s="226" t="s">
        <v>304</v>
      </c>
      <c r="D29" s="7" t="s">
        <v>305</v>
      </c>
      <c r="E29" s="17">
        <v>200</v>
      </c>
      <c r="F29" s="9">
        <v>0.62</v>
      </c>
      <c r="G29" s="10">
        <f>I2</f>
        <v>0.29120000000000001</v>
      </c>
      <c r="H29" s="11">
        <f t="shared" ref="H29" si="6">TRUNC(F29*(1+G29),2)</f>
        <v>0.8</v>
      </c>
      <c r="I29" s="96">
        <f>TRUNC(H29*E29,2)</f>
        <v>160</v>
      </c>
      <c r="J29" s="171">
        <f>I29/$I$44</f>
        <v>3.0469540745580938E-5</v>
      </c>
      <c r="M29" s="166"/>
      <c r="N29" s="166"/>
      <c r="O29" s="165"/>
    </row>
    <row r="30" spans="2:17">
      <c r="B30" s="247" t="s">
        <v>19</v>
      </c>
      <c r="C30" s="247"/>
      <c r="D30" s="247"/>
      <c r="E30" s="247"/>
      <c r="F30" s="247"/>
      <c r="G30" s="247"/>
      <c r="H30" s="247"/>
      <c r="I30" s="97">
        <f>SUBTOTAL(9,I28:I29)</f>
        <v>700.3</v>
      </c>
      <c r="J30" s="170">
        <f>I30/$I$44</f>
        <v>1.3336137115081456E-4</v>
      </c>
    </row>
    <row r="31" spans="2:17">
      <c r="C31" s="12" t="s">
        <v>249</v>
      </c>
      <c r="I31" s="98"/>
      <c r="O31" s="3"/>
    </row>
    <row r="32" spans="2:17">
      <c r="B32" s="7">
        <v>5914389</v>
      </c>
      <c r="C32" s="8" t="s">
        <v>27</v>
      </c>
      <c r="D32" s="7" t="s">
        <v>28</v>
      </c>
      <c r="E32" s="17">
        <f>'Momentos Transporte'!K11</f>
        <v>147474.823</v>
      </c>
      <c r="F32" s="9">
        <v>0.4</v>
      </c>
      <c r="G32" s="10">
        <f>I2</f>
        <v>0.29120000000000001</v>
      </c>
      <c r="H32" s="11">
        <f>TRUNC(F32*(1+G32),2)</f>
        <v>0.51</v>
      </c>
      <c r="I32" s="96">
        <f>TRUNC(H32*E32,2)</f>
        <v>75212.149999999994</v>
      </c>
      <c r="J32" s="171">
        <f>I32/$I$44</f>
        <v>1.4322997931173406E-2</v>
      </c>
    </row>
    <row r="33" spans="2:15">
      <c r="B33" s="7">
        <v>5914359</v>
      </c>
      <c r="C33" s="8" t="s">
        <v>37</v>
      </c>
      <c r="D33" s="7" t="s">
        <v>28</v>
      </c>
      <c r="E33" s="17">
        <f>'Momentos Transporte'!K15</f>
        <v>25468.657999999999</v>
      </c>
      <c r="F33" s="9">
        <v>0.62</v>
      </c>
      <c r="G33" s="10">
        <f>I2</f>
        <v>0.29120000000000001</v>
      </c>
      <c r="H33" s="11">
        <f>TRUNC(F33*(1+G33),2)</f>
        <v>0.8</v>
      </c>
      <c r="I33" s="96">
        <f>TRUNC(H33*E33,2)</f>
        <v>20374.919999999998</v>
      </c>
      <c r="J33" s="171">
        <f>I33/$I$44</f>
        <v>3.8800903445496992E-3</v>
      </c>
    </row>
    <row r="34" spans="2:15">
      <c r="B34" s="247" t="s">
        <v>19</v>
      </c>
      <c r="C34" s="247"/>
      <c r="D34" s="247"/>
      <c r="E34" s="247"/>
      <c r="F34" s="247"/>
      <c r="G34" s="247"/>
      <c r="H34" s="247"/>
      <c r="I34" s="97">
        <f>SUBTOTAL(9,I32:I33)</f>
        <v>95587.069999999992</v>
      </c>
      <c r="J34" s="170">
        <f>I34/$I$44</f>
        <v>1.8203088275723107E-2</v>
      </c>
      <c r="O34" s="3"/>
    </row>
    <row r="35" spans="2:15">
      <c r="C35" s="12" t="s">
        <v>250</v>
      </c>
      <c r="I35" s="98"/>
    </row>
    <row r="36" spans="2:15">
      <c r="B36" s="7" t="s">
        <v>38</v>
      </c>
      <c r="C36" s="8" t="s">
        <v>39</v>
      </c>
      <c r="D36" s="7" t="s">
        <v>40</v>
      </c>
      <c r="E36" s="17">
        <v>2</v>
      </c>
      <c r="F36" s="9">
        <f>MOB!D33</f>
        <v>10843.42</v>
      </c>
      <c r="G36" s="10">
        <f>I2</f>
        <v>0.29120000000000001</v>
      </c>
      <c r="H36" s="11">
        <f>TRUNC(F36*(1+G36),2)</f>
        <v>14001.02</v>
      </c>
      <c r="I36" s="96">
        <f>TRUNC(H36*E36,2)</f>
        <v>28002.04</v>
      </c>
      <c r="J36" s="171">
        <f>I36/$I$44</f>
        <v>5.3325581171211707E-3</v>
      </c>
    </row>
    <row r="37" spans="2:15">
      <c r="B37" s="247" t="s">
        <v>19</v>
      </c>
      <c r="C37" s="247"/>
      <c r="D37" s="247"/>
      <c r="E37" s="247"/>
      <c r="F37" s="247"/>
      <c r="G37" s="247"/>
      <c r="H37" s="247"/>
      <c r="I37" s="97">
        <f>SUBTOTAL(9,I36)</f>
        <v>28002.04</v>
      </c>
      <c r="J37" s="170">
        <f>I37/$I$42</f>
        <v>5.3325581171211707E-3</v>
      </c>
    </row>
    <row r="38" spans="2:15">
      <c r="C38" s="12" t="s">
        <v>251</v>
      </c>
      <c r="I38" s="98"/>
    </row>
    <row r="39" spans="2:15">
      <c r="B39" s="7" t="s">
        <v>41</v>
      </c>
      <c r="C39" s="8" t="s">
        <v>42</v>
      </c>
      <c r="D39" s="7" t="s">
        <v>43</v>
      </c>
      <c r="E39" s="17">
        <v>100</v>
      </c>
      <c r="F39" s="9">
        <f>ADM!F25</f>
        <v>122896.50000000001</v>
      </c>
      <c r="G39" s="10">
        <f>I2</f>
        <v>0.29120000000000001</v>
      </c>
      <c r="H39" s="11">
        <f>TRUNC(F39*(1+G39),2)</f>
        <v>158683.96</v>
      </c>
      <c r="I39" s="96">
        <f>TRUNC(H39*E39/100,2)</f>
        <v>158683.96</v>
      </c>
      <c r="J39" s="171">
        <f>I39/$I$44</f>
        <v>3.0218921155563346E-2</v>
      </c>
    </row>
    <row r="40" spans="2:15">
      <c r="B40" s="247" t="s">
        <v>19</v>
      </c>
      <c r="C40" s="247"/>
      <c r="D40" s="247"/>
      <c r="E40" s="247"/>
      <c r="F40" s="247"/>
      <c r="G40" s="247"/>
      <c r="H40" s="247"/>
      <c r="I40" s="97">
        <f>SUBTOTAL(9,I39)</f>
        <v>158683.96</v>
      </c>
      <c r="J40" s="170">
        <f>I40/$I$44</f>
        <v>3.0218921155563346E-2</v>
      </c>
    </row>
    <row r="42" spans="2:15">
      <c r="H42" s="13" t="s">
        <v>44</v>
      </c>
      <c r="I42" s="99">
        <f>SUBTOTAL(9,I11:I41)</f>
        <v>5251145.7700000005</v>
      </c>
      <c r="J42" s="172">
        <f>I42/I42*100</f>
        <v>100</v>
      </c>
      <c r="K42" s="185"/>
      <c r="L42" s="162"/>
    </row>
    <row r="43" spans="2:15">
      <c r="L43" s="5"/>
    </row>
    <row r="44" spans="2:15">
      <c r="I44" s="5">
        <f>I42-L28</f>
        <v>5251145.7700000005</v>
      </c>
      <c r="J44" s="162">
        <f>1400000/J42</f>
        <v>14000</v>
      </c>
    </row>
  </sheetData>
  <mergeCells count="23">
    <mergeCell ref="C1:J1"/>
    <mergeCell ref="B40:H40"/>
    <mergeCell ref="B26:H26"/>
    <mergeCell ref="I6:J6"/>
    <mergeCell ref="I5:J5"/>
    <mergeCell ref="C5:F5"/>
    <mergeCell ref="C6:F6"/>
    <mergeCell ref="B30:H30"/>
    <mergeCell ref="B7:B8"/>
    <mergeCell ref="C7:C8"/>
    <mergeCell ref="D7:D8"/>
    <mergeCell ref="E7:E8"/>
    <mergeCell ref="G7:G8"/>
    <mergeCell ref="B16:H16"/>
    <mergeCell ref="I2:J2"/>
    <mergeCell ref="I3:J3"/>
    <mergeCell ref="J7:J8"/>
    <mergeCell ref="B34:H34"/>
    <mergeCell ref="B37:H37"/>
    <mergeCell ref="C2:F4"/>
    <mergeCell ref="G3:H3"/>
    <mergeCell ref="G4:H4"/>
    <mergeCell ref="G2:H2"/>
  </mergeCells>
  <pageMargins left="0.51181102362204722" right="0.51181102362204722" top="0.78740157480314965" bottom="0.78740157480314965" header="0.31496062992125984" footer="0.31496062992125984"/>
  <pageSetup paperSize="9" scale="78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workbookViewId="0">
      <selection activeCell="B34" sqref="B34"/>
    </sheetView>
  </sheetViews>
  <sheetFormatPr defaultRowHeight="15"/>
  <cols>
    <col min="1" max="1" width="16" style="4" customWidth="1"/>
    <col min="2" max="2" width="13.7109375" style="4" customWidth="1"/>
    <col min="3" max="3" width="16.42578125" style="4" customWidth="1"/>
    <col min="4" max="4" width="9.140625" style="4"/>
    <col min="5" max="6" width="9.7109375" style="4" bestFit="1" customWidth="1"/>
    <col min="7" max="7" width="12.5703125" style="4" bestFit="1" customWidth="1"/>
    <col min="8" max="8" width="11.42578125" style="4" bestFit="1" customWidth="1"/>
    <col min="9" max="9" width="12.5703125" style="4" bestFit="1" customWidth="1"/>
    <col min="10" max="10" width="14.28515625" style="4" bestFit="1" customWidth="1"/>
    <col min="11" max="11" width="10.140625" style="4" bestFit="1" customWidth="1"/>
    <col min="12" max="12" width="9.140625" style="4"/>
    <col min="13" max="13" width="11.42578125" style="4" customWidth="1"/>
    <col min="14" max="14" width="13.140625" style="4" bestFit="1" customWidth="1"/>
    <col min="15" max="15" width="14.85546875" style="4" customWidth="1"/>
    <col min="16" max="16" width="11.42578125" style="4" bestFit="1" customWidth="1"/>
    <col min="18" max="18" width="15.85546875" customWidth="1"/>
    <col min="20" max="20" width="17.28515625" customWidth="1"/>
    <col min="21" max="21" width="10.85546875" style="1" bestFit="1" customWidth="1"/>
  </cols>
  <sheetData>
    <row r="1" spans="1:21" ht="15.75">
      <c r="A1" s="272" t="s">
        <v>236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4"/>
    </row>
    <row r="2" spans="1:21" ht="15" customHeight="1">
      <c r="A2" s="275" t="s">
        <v>238</v>
      </c>
      <c r="B2" s="276"/>
      <c r="C2" s="276"/>
      <c r="D2" s="276"/>
      <c r="E2" s="276"/>
      <c r="F2" s="276"/>
      <c r="G2" s="276"/>
      <c r="H2" s="276"/>
      <c r="I2" s="276"/>
      <c r="J2" s="277"/>
      <c r="K2" s="94" t="s">
        <v>1</v>
      </c>
      <c r="L2" s="261">
        <f>BDI!C21</f>
        <v>0.29120000000000001</v>
      </c>
      <c r="M2" s="278"/>
    </row>
    <row r="3" spans="1:21" ht="15" customHeight="1">
      <c r="A3" s="275"/>
      <c r="B3" s="276"/>
      <c r="C3" s="276"/>
      <c r="D3" s="276"/>
      <c r="E3" s="276"/>
      <c r="F3" s="276"/>
      <c r="G3" s="276"/>
      <c r="H3" s="276"/>
      <c r="I3" s="276"/>
      <c r="J3" s="277"/>
      <c r="K3" s="94" t="s">
        <v>2</v>
      </c>
      <c r="L3" s="263">
        <v>0.15</v>
      </c>
      <c r="M3" s="279"/>
    </row>
    <row r="4" spans="1:21" ht="15" customHeight="1">
      <c r="A4" s="275"/>
      <c r="B4" s="276"/>
      <c r="C4" s="276"/>
      <c r="D4" s="276"/>
      <c r="E4" s="276"/>
      <c r="F4" s="276"/>
      <c r="G4" s="276"/>
      <c r="H4" s="276"/>
      <c r="I4" s="276"/>
      <c r="J4" s="277"/>
      <c r="K4" s="94" t="s">
        <v>188</v>
      </c>
      <c r="L4" s="118">
        <v>6</v>
      </c>
      <c r="M4" s="149" t="s">
        <v>187</v>
      </c>
    </row>
    <row r="5" spans="1:21">
      <c r="A5" s="150" t="s">
        <v>25</v>
      </c>
      <c r="B5" s="250" t="str">
        <f>Orçamento!C5</f>
        <v>Pavimentação de Ruas diversas no Município de Porto União</v>
      </c>
      <c r="C5" s="250"/>
      <c r="D5" s="250"/>
      <c r="E5" s="250"/>
      <c r="F5" s="250"/>
      <c r="G5" s="250"/>
      <c r="H5" s="250"/>
      <c r="I5" s="250"/>
      <c r="J5" s="250"/>
      <c r="K5" s="22" t="s">
        <v>22</v>
      </c>
      <c r="L5" s="254" t="s">
        <v>23</v>
      </c>
      <c r="M5" s="280"/>
    </row>
    <row r="6" spans="1:21">
      <c r="A6" s="151" t="s">
        <v>24</v>
      </c>
      <c r="B6" s="250" t="s">
        <v>26</v>
      </c>
      <c r="C6" s="250"/>
      <c r="D6" s="250"/>
      <c r="E6" s="250"/>
      <c r="F6" s="250"/>
      <c r="G6" s="250"/>
      <c r="H6" s="250"/>
      <c r="I6" s="250"/>
      <c r="J6" s="250"/>
      <c r="K6" s="24" t="s">
        <v>21</v>
      </c>
      <c r="L6" s="252" t="s">
        <v>303</v>
      </c>
      <c r="M6" s="265"/>
    </row>
    <row r="7" spans="1:21" ht="15.75" thickBot="1">
      <c r="A7" s="148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47"/>
    </row>
    <row r="8" spans="1:21" ht="15.75" customHeight="1">
      <c r="A8" s="281" t="s">
        <v>243</v>
      </c>
      <c r="B8" s="282"/>
      <c r="C8" s="282"/>
      <c r="D8" s="282"/>
      <c r="E8" s="283"/>
      <c r="F8" s="110"/>
      <c r="G8" s="110"/>
      <c r="H8" s="110"/>
      <c r="I8" s="110"/>
      <c r="J8" s="110"/>
      <c r="K8" s="110"/>
      <c r="L8" s="110"/>
      <c r="M8" s="147"/>
    </row>
    <row r="9" spans="1:21" s="105" customFormat="1" ht="30" customHeight="1">
      <c r="A9" s="152" t="s">
        <v>194</v>
      </c>
      <c r="B9" s="107" t="s">
        <v>195</v>
      </c>
      <c r="C9" s="107" t="s">
        <v>196</v>
      </c>
      <c r="D9" s="106" t="s">
        <v>197</v>
      </c>
      <c r="E9" s="174" t="s">
        <v>198</v>
      </c>
      <c r="F9" s="153"/>
      <c r="G9" s="127"/>
      <c r="H9" s="127"/>
      <c r="I9" s="127"/>
      <c r="J9" s="153"/>
      <c r="K9" s="153"/>
      <c r="L9" s="153"/>
      <c r="M9" s="154"/>
      <c r="N9" s="111"/>
    </row>
    <row r="10" spans="1:21">
      <c r="A10" s="155" t="s">
        <v>193</v>
      </c>
      <c r="B10" s="167">
        <v>270.23700000000002</v>
      </c>
      <c r="C10" s="167"/>
      <c r="D10" s="167">
        <v>26.939</v>
      </c>
      <c r="E10" s="175">
        <v>0.253</v>
      </c>
      <c r="F10" s="110"/>
      <c r="G10" s="110"/>
      <c r="H10" s="110"/>
      <c r="I10" s="110"/>
      <c r="J10" s="156"/>
      <c r="K10" s="156"/>
      <c r="L10" s="156"/>
      <c r="M10" s="157"/>
      <c r="N10" s="1"/>
      <c r="O10"/>
      <c r="P10"/>
      <c r="U10"/>
    </row>
    <row r="11" spans="1:21">
      <c r="A11" s="155" t="s">
        <v>302</v>
      </c>
      <c r="B11" s="167">
        <v>386.50700000000001</v>
      </c>
      <c r="C11" s="167">
        <f>B11/B10</f>
        <v>1.4302519640167703</v>
      </c>
      <c r="D11" s="108">
        <f>C11*D10</f>
        <v>38.529557658647775</v>
      </c>
      <c r="E11" s="176">
        <f>E10*C11</f>
        <v>0.36185374689624289</v>
      </c>
      <c r="F11" s="110"/>
      <c r="G11" s="110"/>
      <c r="H11" s="110"/>
      <c r="I11" s="110"/>
      <c r="J11" s="156"/>
      <c r="K11" s="156"/>
      <c r="L11" s="156"/>
      <c r="M11" s="157"/>
      <c r="N11" s="1"/>
      <c r="O11"/>
      <c r="P11"/>
      <c r="U11"/>
    </row>
    <row r="12" spans="1:21">
      <c r="A12" s="158" t="s">
        <v>199</v>
      </c>
      <c r="B12" s="109"/>
      <c r="C12" s="109"/>
      <c r="D12" s="109"/>
      <c r="E12" s="177"/>
      <c r="F12" s="110"/>
      <c r="G12" s="110"/>
      <c r="H12" s="110"/>
      <c r="I12" s="110"/>
      <c r="J12" s="156"/>
      <c r="K12" s="156"/>
      <c r="L12" s="156"/>
      <c r="M12" s="157"/>
      <c r="N12" s="1"/>
      <c r="O12"/>
      <c r="P12"/>
      <c r="U12"/>
    </row>
    <row r="13" spans="1:21">
      <c r="A13" s="159" t="s">
        <v>200</v>
      </c>
      <c r="B13" s="168"/>
      <c r="C13" s="168"/>
      <c r="D13" s="168"/>
      <c r="E13" s="169"/>
      <c r="F13" s="110"/>
      <c r="G13" s="110"/>
      <c r="H13" s="110"/>
      <c r="I13" s="110"/>
      <c r="J13" s="156"/>
      <c r="K13" s="156"/>
      <c r="L13" s="156"/>
      <c r="M13" s="157"/>
      <c r="N13" s="1"/>
      <c r="O13"/>
      <c r="P13"/>
      <c r="U13"/>
    </row>
    <row r="14" spans="1:21">
      <c r="A14" s="266" t="s">
        <v>203</v>
      </c>
      <c r="B14" s="267"/>
      <c r="C14" s="267"/>
      <c r="D14" s="267"/>
      <c r="E14" s="268"/>
      <c r="F14" s="110"/>
      <c r="G14" s="110"/>
      <c r="H14" s="110"/>
      <c r="I14" s="110"/>
      <c r="J14" s="110"/>
      <c r="K14" s="110"/>
      <c r="L14" s="110"/>
      <c r="M14" s="147"/>
    </row>
    <row r="15" spans="1:21" ht="15" customHeight="1">
      <c r="A15" s="266"/>
      <c r="B15" s="267"/>
      <c r="C15" s="267"/>
      <c r="D15" s="267"/>
      <c r="E15" s="268"/>
      <c r="F15" s="110"/>
      <c r="G15" s="110"/>
      <c r="H15" s="110"/>
      <c r="I15" s="110"/>
      <c r="J15" s="110"/>
      <c r="K15" s="110"/>
      <c r="L15" s="110"/>
      <c r="M15" s="147"/>
    </row>
    <row r="16" spans="1:21">
      <c r="A16" s="269"/>
      <c r="B16" s="270"/>
      <c r="C16" s="270"/>
      <c r="D16" s="270"/>
      <c r="E16" s="271"/>
      <c r="F16" s="110"/>
      <c r="G16" s="110"/>
      <c r="H16" s="110"/>
      <c r="I16" s="110"/>
      <c r="J16" s="110"/>
      <c r="K16" s="110"/>
      <c r="L16" s="110"/>
      <c r="M16" s="147"/>
    </row>
    <row r="17" spans="1:13">
      <c r="A17" s="287" t="s">
        <v>201</v>
      </c>
      <c r="B17" s="288"/>
      <c r="C17" s="288"/>
      <c r="D17" s="288"/>
      <c r="E17" s="289"/>
      <c r="F17" s="110"/>
      <c r="G17" s="110"/>
      <c r="H17" s="110"/>
      <c r="I17" s="110"/>
      <c r="J17" s="110"/>
      <c r="K17" s="110"/>
      <c r="L17" s="110"/>
      <c r="M17" s="147"/>
    </row>
    <row r="18" spans="1:13" ht="15.75" thickBot="1">
      <c r="A18" s="284" t="s">
        <v>202</v>
      </c>
      <c r="B18" s="285"/>
      <c r="C18" s="285"/>
      <c r="D18" s="285"/>
      <c r="E18" s="286"/>
      <c r="F18" s="110"/>
      <c r="G18" s="110"/>
      <c r="H18" s="110"/>
      <c r="I18" s="110"/>
      <c r="J18" s="110"/>
      <c r="K18" s="110"/>
      <c r="L18" s="110"/>
      <c r="M18" s="147"/>
    </row>
    <row r="19" spans="1:13" ht="15.75" thickBot="1">
      <c r="A19" s="148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47"/>
    </row>
    <row r="20" spans="1:13">
      <c r="A20" s="290" t="s">
        <v>208</v>
      </c>
      <c r="B20" s="178" t="s">
        <v>301</v>
      </c>
      <c r="C20" s="292" t="s">
        <v>212</v>
      </c>
      <c r="D20" s="292" t="s">
        <v>222</v>
      </c>
      <c r="E20" s="292" t="s">
        <v>223</v>
      </c>
      <c r="F20" s="179" t="s">
        <v>225</v>
      </c>
      <c r="G20" s="292" t="s">
        <v>229</v>
      </c>
      <c r="H20" s="292" t="s">
        <v>230</v>
      </c>
      <c r="I20" s="292" t="s">
        <v>207</v>
      </c>
      <c r="J20" s="296" t="s">
        <v>209</v>
      </c>
      <c r="K20" s="292" t="s">
        <v>212</v>
      </c>
      <c r="L20" s="296" t="s">
        <v>213</v>
      </c>
      <c r="M20" s="180" t="s">
        <v>231</v>
      </c>
    </row>
    <row r="21" spans="1:13">
      <c r="A21" s="291"/>
      <c r="B21" s="167" t="s">
        <v>224</v>
      </c>
      <c r="C21" s="250"/>
      <c r="D21" s="250"/>
      <c r="E21" s="250"/>
      <c r="F21" s="106" t="s">
        <v>224</v>
      </c>
      <c r="G21" s="250"/>
      <c r="H21" s="250"/>
      <c r="I21" s="250"/>
      <c r="J21" s="297"/>
      <c r="K21" s="250"/>
      <c r="L21" s="297"/>
      <c r="M21" s="174" t="s">
        <v>224</v>
      </c>
    </row>
    <row r="22" spans="1:13">
      <c r="A22" s="181" t="s">
        <v>206</v>
      </c>
      <c r="B22" s="9">
        <v>2798.69</v>
      </c>
      <c r="C22" s="10">
        <v>0.18</v>
      </c>
      <c r="D22" s="10">
        <v>6.4999999999999997E-3</v>
      </c>
      <c r="E22" s="10">
        <v>0.03</v>
      </c>
      <c r="F22" s="117">
        <f>TRUNC(B22/(1-E22-D22-(C22-0.4%)),2)</f>
        <v>3553.89</v>
      </c>
      <c r="G22" s="167" t="s">
        <v>204</v>
      </c>
      <c r="H22" s="167" t="s">
        <v>205</v>
      </c>
      <c r="I22" s="167">
        <v>220</v>
      </c>
      <c r="J22" s="9">
        <f>TRUNC($D$11+($E$11*I22),2)</f>
        <v>118.13</v>
      </c>
      <c r="K22" s="10">
        <v>0.12</v>
      </c>
      <c r="L22" s="117">
        <f>TRUNC(J22/(1-K22),2)</f>
        <v>134.22999999999999</v>
      </c>
      <c r="M22" s="182">
        <f>L22+F22</f>
        <v>3688.12</v>
      </c>
    </row>
    <row r="23" spans="1:13">
      <c r="A23" s="181" t="s">
        <v>210</v>
      </c>
      <c r="B23" s="9">
        <v>4096.54</v>
      </c>
      <c r="C23" s="10">
        <v>0.18</v>
      </c>
      <c r="D23" s="10">
        <v>6.4999999999999997E-3</v>
      </c>
      <c r="E23" s="10">
        <v>0.03</v>
      </c>
      <c r="F23" s="117">
        <f t="shared" ref="F23:F24" si="0">TRUNC(B23/(1-E23-D23-(C23-0.4%)),2)</f>
        <v>5201.95</v>
      </c>
      <c r="G23" s="167" t="s">
        <v>214</v>
      </c>
      <c r="H23" s="167" t="s">
        <v>205</v>
      </c>
      <c r="I23" s="167">
        <v>212</v>
      </c>
      <c r="J23" s="9">
        <f>TRUNC($D$11+($E$11*I23),2)</f>
        <v>115.24</v>
      </c>
      <c r="K23" s="10">
        <v>0.12</v>
      </c>
      <c r="L23" s="117">
        <f t="shared" ref="L23:L24" si="1">TRUNC(J23/(1-K23),2)</f>
        <v>130.94999999999999</v>
      </c>
      <c r="M23" s="182">
        <f>L23+F23</f>
        <v>5332.9</v>
      </c>
    </row>
    <row r="24" spans="1:13" ht="36" customHeight="1">
      <c r="A24" s="181" t="s">
        <v>211</v>
      </c>
      <c r="B24" s="9">
        <v>2222.87</v>
      </c>
      <c r="C24" s="10">
        <v>0.18</v>
      </c>
      <c r="D24" s="10">
        <v>6.4999999999999997E-3</v>
      </c>
      <c r="E24" s="10">
        <v>0.03</v>
      </c>
      <c r="F24" s="117">
        <f t="shared" si="0"/>
        <v>2822.69</v>
      </c>
      <c r="G24" s="167" t="s">
        <v>214</v>
      </c>
      <c r="H24" s="167" t="s">
        <v>205</v>
      </c>
      <c r="I24" s="167">
        <v>212</v>
      </c>
      <c r="J24" s="9">
        <f>TRUNC($D$11+($E$11*I24),2)</f>
        <v>115.24</v>
      </c>
      <c r="K24" s="10">
        <v>0.12</v>
      </c>
      <c r="L24" s="117">
        <f t="shared" si="1"/>
        <v>130.94999999999999</v>
      </c>
      <c r="M24" s="182">
        <f>L24+F24</f>
        <v>2953.64</v>
      </c>
    </row>
    <row r="25" spans="1:13" ht="15.75" thickBot="1">
      <c r="A25" s="293" t="s">
        <v>232</v>
      </c>
      <c r="B25" s="294"/>
      <c r="C25" s="294"/>
      <c r="D25" s="294"/>
      <c r="E25" s="294"/>
      <c r="F25" s="294"/>
      <c r="G25" s="294"/>
      <c r="H25" s="294"/>
      <c r="I25" s="294"/>
      <c r="J25" s="294"/>
      <c r="K25" s="294"/>
      <c r="L25" s="294"/>
      <c r="M25" s="295"/>
    </row>
    <row r="26" spans="1:13">
      <c r="F26" s="6"/>
    </row>
  </sheetData>
  <mergeCells count="23">
    <mergeCell ref="A18:E18"/>
    <mergeCell ref="A17:E17"/>
    <mergeCell ref="A20:A21"/>
    <mergeCell ref="C20:C21"/>
    <mergeCell ref="A25:M25"/>
    <mergeCell ref="H20:H21"/>
    <mergeCell ref="I20:I21"/>
    <mergeCell ref="J20:J21"/>
    <mergeCell ref="K20:K21"/>
    <mergeCell ref="L20:L21"/>
    <mergeCell ref="D20:D21"/>
    <mergeCell ref="E20:E21"/>
    <mergeCell ref="G20:G21"/>
    <mergeCell ref="L6:M6"/>
    <mergeCell ref="A14:E16"/>
    <mergeCell ref="A1:M1"/>
    <mergeCell ref="A2:J4"/>
    <mergeCell ref="B5:J5"/>
    <mergeCell ref="B6:J6"/>
    <mergeCell ref="L2:M2"/>
    <mergeCell ref="L3:M3"/>
    <mergeCell ref="L5:M5"/>
    <mergeCell ref="A8:E8"/>
  </mergeCells>
  <pageMargins left="0.511811024" right="0.511811024" top="0.78740157499999996" bottom="0.78740157499999996" header="0.31496062000000002" footer="0.31496062000000002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opLeftCell="A13" workbookViewId="0">
      <selection activeCell="D27" sqref="D27"/>
    </sheetView>
  </sheetViews>
  <sheetFormatPr defaultRowHeight="15"/>
  <cols>
    <col min="1" max="2" width="9.140625" style="3"/>
    <col min="3" max="3" width="44" style="3" customWidth="1"/>
    <col min="4" max="4" width="10.140625" style="16" bestFit="1" customWidth="1"/>
    <col min="5" max="5" width="15.7109375" style="4" bestFit="1" customWidth="1"/>
    <col min="6" max="6" width="9.140625" style="4"/>
    <col min="7" max="7" width="9.140625" style="16"/>
    <col min="8" max="8" width="11.140625" style="16" bestFit="1" customWidth="1"/>
    <col min="9" max="9" width="11.5703125" style="16" bestFit="1" customWidth="1"/>
    <col min="10" max="10" width="9.140625" style="16"/>
    <col min="11" max="11" width="18.7109375" style="27" bestFit="1" customWidth="1"/>
  </cols>
  <sheetData>
    <row r="1" spans="1:11" ht="15.75">
      <c r="B1" s="251" t="s">
        <v>236</v>
      </c>
      <c r="C1" s="251"/>
      <c r="D1" s="251"/>
      <c r="E1" s="251"/>
      <c r="F1" s="251"/>
      <c r="G1" s="251"/>
      <c r="H1" s="251"/>
      <c r="I1" s="251"/>
      <c r="J1" s="251"/>
      <c r="K1" s="251"/>
    </row>
    <row r="2" spans="1:11" ht="15" customHeight="1">
      <c r="B2" s="251" t="s">
        <v>239</v>
      </c>
      <c r="C2" s="251"/>
      <c r="D2" s="251"/>
      <c r="E2" s="251"/>
      <c r="F2" s="251"/>
      <c r="G2" s="251"/>
      <c r="H2" s="251"/>
      <c r="I2" s="251"/>
      <c r="J2" s="251"/>
      <c r="K2" s="277"/>
    </row>
    <row r="3" spans="1:11" ht="15" customHeight="1">
      <c r="B3" s="251"/>
      <c r="C3" s="251"/>
      <c r="D3" s="251"/>
      <c r="E3" s="251"/>
      <c r="F3" s="251"/>
      <c r="G3" s="251"/>
      <c r="H3" s="251"/>
      <c r="I3" s="251"/>
      <c r="J3" s="251"/>
      <c r="K3" s="277"/>
    </row>
    <row r="4" spans="1:11" ht="15" customHeight="1">
      <c r="B4" s="298"/>
      <c r="C4" s="298"/>
      <c r="D4" s="298"/>
      <c r="E4" s="298"/>
      <c r="F4" s="298"/>
      <c r="G4" s="298"/>
      <c r="H4" s="298"/>
      <c r="I4" s="298"/>
      <c r="J4" s="298"/>
      <c r="K4" s="299"/>
    </row>
    <row r="5" spans="1:11">
      <c r="B5" s="21" t="s">
        <v>25</v>
      </c>
      <c r="C5" s="300" t="str">
        <f>Orçamento!C5</f>
        <v>Pavimentação de Ruas diversas no Município de Porto União</v>
      </c>
      <c r="D5" s="301"/>
      <c r="E5" s="301"/>
      <c r="F5" s="301"/>
      <c r="G5" s="301"/>
      <c r="H5" s="301"/>
      <c r="I5" s="301"/>
      <c r="J5" s="301"/>
      <c r="K5" s="302"/>
    </row>
    <row r="6" spans="1:11">
      <c r="B6" s="23" t="s">
        <v>24</v>
      </c>
      <c r="C6" s="300" t="s">
        <v>26</v>
      </c>
      <c r="D6" s="301"/>
      <c r="E6" s="301"/>
      <c r="F6" s="301"/>
      <c r="G6" s="301"/>
      <c r="H6" s="301"/>
      <c r="I6" s="301"/>
      <c r="J6" s="301"/>
      <c r="K6" s="302"/>
    </row>
    <row r="7" spans="1:11" s="1" customFormat="1" ht="15" customHeight="1">
      <c r="A7" s="4"/>
      <c r="B7" s="122" t="s">
        <v>3</v>
      </c>
      <c r="C7" s="122" t="s">
        <v>29</v>
      </c>
      <c r="D7" s="17" t="s">
        <v>6</v>
      </c>
      <c r="E7" s="122" t="s">
        <v>30</v>
      </c>
      <c r="F7" s="122" t="s">
        <v>5</v>
      </c>
      <c r="G7" s="17" t="s">
        <v>31</v>
      </c>
      <c r="H7" s="17" t="s">
        <v>32</v>
      </c>
      <c r="I7" s="17" t="s">
        <v>33</v>
      </c>
      <c r="J7" s="17" t="s">
        <v>34</v>
      </c>
      <c r="K7" s="17" t="s">
        <v>35</v>
      </c>
    </row>
    <row r="8" spans="1:11">
      <c r="B8" s="112">
        <v>5914389</v>
      </c>
      <c r="C8" s="113" t="s">
        <v>27</v>
      </c>
      <c r="D8" s="114"/>
      <c r="E8" s="115"/>
      <c r="F8" s="115"/>
      <c r="G8" s="114"/>
      <c r="H8" s="114"/>
      <c r="I8" s="114"/>
      <c r="J8" s="114"/>
      <c r="K8" s="116"/>
    </row>
    <row r="9" spans="1:11">
      <c r="B9" s="28">
        <v>4011464</v>
      </c>
      <c r="C9" s="28" t="s">
        <v>192</v>
      </c>
      <c r="D9" s="29">
        <f>Orçamento!E14+Orçamento!E24</f>
        <v>10783.695</v>
      </c>
      <c r="E9" s="30" t="s">
        <v>36</v>
      </c>
      <c r="F9" s="31" t="s">
        <v>0</v>
      </c>
      <c r="G9" s="29">
        <v>1.02</v>
      </c>
      <c r="H9" s="29">
        <v>1</v>
      </c>
      <c r="I9" s="29">
        <f>ROUND(H9*G9*D9,3)</f>
        <v>10999.369000000001</v>
      </c>
      <c r="J9" s="103">
        <f>DMT!M78</f>
        <v>11.75</v>
      </c>
      <c r="K9" s="32">
        <f>TRUNC(J9*I9,3)</f>
        <v>129242.58500000001</v>
      </c>
    </row>
    <row r="10" spans="1:11">
      <c r="B10" s="186">
        <v>4011479</v>
      </c>
      <c r="C10" s="186" t="s">
        <v>245</v>
      </c>
      <c r="D10" s="187">
        <f>Orçamento!E11</f>
        <v>1175.97</v>
      </c>
      <c r="E10" s="188" t="s">
        <v>252</v>
      </c>
      <c r="F10" s="189" t="s">
        <v>246</v>
      </c>
      <c r="G10" s="187">
        <v>1</v>
      </c>
      <c r="H10" s="187">
        <v>2.4</v>
      </c>
      <c r="I10" s="187">
        <f>ROUND(H10*G10*D10,3)</f>
        <v>2822.328</v>
      </c>
      <c r="J10" s="190">
        <f>DMT!O78</f>
        <v>6.46</v>
      </c>
      <c r="K10" s="191">
        <f>TRUNC(J10*I10,3)</f>
        <v>18232.238000000001</v>
      </c>
    </row>
    <row r="11" spans="1:11">
      <c r="J11" s="34" t="s">
        <v>18</v>
      </c>
      <c r="K11" s="33">
        <f>SUM(K9:K10)</f>
        <v>147474.823</v>
      </c>
    </row>
    <row r="12" spans="1:11">
      <c r="B12" s="112">
        <v>5914359</v>
      </c>
      <c r="C12" s="113" t="s">
        <v>37</v>
      </c>
      <c r="D12" s="114"/>
      <c r="E12" s="115"/>
      <c r="F12" s="115"/>
      <c r="G12" s="114"/>
      <c r="H12" s="114"/>
      <c r="I12" s="114"/>
      <c r="J12" s="114"/>
      <c r="K12" s="116"/>
    </row>
    <row r="13" spans="1:11">
      <c r="B13" s="28">
        <v>4011464</v>
      </c>
      <c r="C13" s="28" t="s">
        <v>192</v>
      </c>
      <c r="D13" s="29">
        <f>Orçamento!E14+Orçamento!E24</f>
        <v>10783.695</v>
      </c>
      <c r="E13" s="30" t="s">
        <v>36</v>
      </c>
      <c r="F13" s="31" t="s">
        <v>0</v>
      </c>
      <c r="G13" s="29">
        <v>1.02</v>
      </c>
      <c r="H13" s="29">
        <v>1</v>
      </c>
      <c r="I13" s="29">
        <f>ROUND(H13*G13*D13,3)</f>
        <v>10999.369000000001</v>
      </c>
      <c r="J13" s="29">
        <f>DMT!L78</f>
        <v>2.2000000000000002</v>
      </c>
      <c r="K13" s="32">
        <f>TRUNC(J13*I13,3)</f>
        <v>24198.611000000001</v>
      </c>
    </row>
    <row r="14" spans="1:11">
      <c r="B14" s="186">
        <v>4011479</v>
      </c>
      <c r="C14" s="186" t="s">
        <v>245</v>
      </c>
      <c r="D14" s="187">
        <f>Orçamento!E11</f>
        <v>1175.97</v>
      </c>
      <c r="E14" s="188" t="s">
        <v>252</v>
      </c>
      <c r="F14" s="189" t="s">
        <v>246</v>
      </c>
      <c r="G14" s="187">
        <v>1</v>
      </c>
      <c r="H14" s="187">
        <v>2.4</v>
      </c>
      <c r="I14" s="187">
        <f>ROUND(H14*G14*D14,3)</f>
        <v>2822.328</v>
      </c>
      <c r="J14" s="190">
        <f>DMT!N78</f>
        <v>0.45</v>
      </c>
      <c r="K14" s="191">
        <f>TRUNC(J14*I14,3)</f>
        <v>1270.047</v>
      </c>
    </row>
    <row r="15" spans="1:11">
      <c r="J15" s="34" t="s">
        <v>18</v>
      </c>
      <c r="K15" s="33">
        <f>SUM(K13:K14)</f>
        <v>25468.657999999999</v>
      </c>
    </row>
  </sheetData>
  <mergeCells count="4">
    <mergeCell ref="B1:K1"/>
    <mergeCell ref="B2:K4"/>
    <mergeCell ref="C5:K5"/>
    <mergeCell ref="C6:K6"/>
  </mergeCells>
  <pageMargins left="0.511811024" right="0.511811024" top="0.78740157499999996" bottom="0.78740157499999996" header="0.31496062000000002" footer="0.31496062000000002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zoomScale="110" zoomScaleNormal="110" workbookViewId="0">
      <selection activeCell="N23" sqref="N23"/>
    </sheetView>
  </sheetViews>
  <sheetFormatPr defaultRowHeight="12.75"/>
  <cols>
    <col min="1" max="1" width="4.140625" style="52" customWidth="1"/>
    <col min="2" max="2" width="21.5703125" style="53" customWidth="1"/>
    <col min="3" max="3" width="6.28515625" style="52" bestFit="1" customWidth="1"/>
    <col min="4" max="4" width="10.28515625" style="52" customWidth="1"/>
    <col min="5" max="5" width="12.140625" style="52" customWidth="1"/>
    <col min="6" max="6" width="16" style="52" bestFit="1" customWidth="1"/>
    <col min="7" max="7" width="13.28515625" style="53" bestFit="1" customWidth="1"/>
    <col min="8" max="9" width="10.7109375" style="53" customWidth="1"/>
    <col min="10" max="10" width="7.85546875" style="53" bestFit="1" customWidth="1"/>
    <col min="11" max="15" width="9.140625" style="53"/>
    <col min="16" max="16" width="9.140625" style="52"/>
    <col min="17" max="17" width="22.5703125" style="53" customWidth="1"/>
    <col min="18" max="18" width="7" style="52" bestFit="1" customWidth="1"/>
    <col min="19" max="20" width="9.140625" style="52"/>
    <col min="21" max="21" width="13.140625" style="53" customWidth="1"/>
    <col min="22" max="22" width="15.140625" style="53" customWidth="1"/>
    <col min="23" max="16384" width="9.140625" style="35"/>
  </cols>
  <sheetData>
    <row r="1" spans="1:10" ht="15.75">
      <c r="A1" s="251" t="s">
        <v>236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0">
      <c r="A2" s="251" t="s">
        <v>240</v>
      </c>
      <c r="B2" s="251"/>
      <c r="C2" s="251"/>
      <c r="D2" s="251"/>
      <c r="E2" s="251"/>
      <c r="F2" s="251"/>
      <c r="G2" s="251"/>
      <c r="H2" s="251"/>
      <c r="I2" s="251"/>
      <c r="J2" s="277"/>
    </row>
    <row r="3" spans="1:10">
      <c r="A3" s="251"/>
      <c r="B3" s="251"/>
      <c r="C3" s="251"/>
      <c r="D3" s="251"/>
      <c r="E3" s="251"/>
      <c r="F3" s="251"/>
      <c r="G3" s="251"/>
      <c r="H3" s="251"/>
      <c r="I3" s="251"/>
      <c r="J3" s="277"/>
    </row>
    <row r="4" spans="1:10">
      <c r="A4" s="298"/>
      <c r="B4" s="298"/>
      <c r="C4" s="298"/>
      <c r="D4" s="298"/>
      <c r="E4" s="298"/>
      <c r="F4" s="298"/>
      <c r="G4" s="298"/>
      <c r="H4" s="298"/>
      <c r="I4" s="298"/>
      <c r="J4" s="299"/>
    </row>
    <row r="5" spans="1:10" ht="15">
      <c r="A5" s="306" t="s">
        <v>25</v>
      </c>
      <c r="B5" s="288"/>
      <c r="C5" s="307"/>
      <c r="D5" s="300" t="str">
        <f>Orçamento!C5</f>
        <v>Pavimentação de Ruas diversas no Município de Porto União</v>
      </c>
      <c r="E5" s="301"/>
      <c r="F5" s="301"/>
      <c r="G5" s="301"/>
      <c r="H5" s="301"/>
      <c r="I5" s="301"/>
      <c r="J5" s="302"/>
    </row>
    <row r="6" spans="1:10" ht="15">
      <c r="A6" s="303" t="s">
        <v>24</v>
      </c>
      <c r="B6" s="304"/>
      <c r="C6" s="305"/>
      <c r="D6" s="300" t="s">
        <v>26</v>
      </c>
      <c r="E6" s="301"/>
      <c r="F6" s="301"/>
      <c r="G6" s="301"/>
      <c r="H6" s="301"/>
      <c r="I6" s="301"/>
      <c r="J6" s="302"/>
    </row>
    <row r="7" spans="1:10" ht="15">
      <c r="A7" s="127"/>
      <c r="B7" s="127"/>
      <c r="C7" s="127"/>
      <c r="D7" s="110"/>
      <c r="E7" s="110"/>
      <c r="F7" s="110"/>
      <c r="G7" s="110"/>
      <c r="H7" s="110"/>
      <c r="I7" s="110"/>
      <c r="J7" s="110"/>
    </row>
    <row r="8" spans="1:10" ht="13.5">
      <c r="A8" s="345" t="s">
        <v>89</v>
      </c>
      <c r="B8" s="345"/>
      <c r="C8" s="345"/>
      <c r="D8" s="345"/>
      <c r="E8" s="345"/>
      <c r="F8" s="345"/>
    </row>
    <row r="9" spans="1:10" ht="18">
      <c r="A9" s="54" t="s">
        <v>90</v>
      </c>
      <c r="B9" s="54" t="s">
        <v>91</v>
      </c>
      <c r="C9" s="54" t="s">
        <v>92</v>
      </c>
      <c r="D9" s="54" t="s">
        <v>93</v>
      </c>
      <c r="E9" s="54" t="s">
        <v>94</v>
      </c>
      <c r="F9" s="120" t="s">
        <v>95</v>
      </c>
    </row>
    <row r="10" spans="1:10">
      <c r="A10" s="55">
        <v>1</v>
      </c>
      <c r="B10" s="333" t="s">
        <v>180</v>
      </c>
      <c r="C10" s="334"/>
      <c r="D10" s="334"/>
      <c r="E10" s="334"/>
      <c r="F10" s="346"/>
    </row>
    <row r="11" spans="1:10">
      <c r="A11" s="56" t="s">
        <v>96</v>
      </c>
      <c r="B11" s="48" t="s">
        <v>97</v>
      </c>
      <c r="C11" s="56" t="s">
        <v>98</v>
      </c>
      <c r="D11" s="57">
        <v>6</v>
      </c>
      <c r="E11" s="91">
        <f>G31</f>
        <v>5349.44</v>
      </c>
      <c r="F11" s="49">
        <f>TRUNC(E11*D11,2)</f>
        <v>32096.639999999999</v>
      </c>
    </row>
    <row r="12" spans="1:10">
      <c r="A12" s="56" t="s">
        <v>99</v>
      </c>
      <c r="B12" s="48" t="s">
        <v>100</v>
      </c>
      <c r="C12" s="56" t="s">
        <v>98</v>
      </c>
      <c r="D12" s="57">
        <f>D11</f>
        <v>6</v>
      </c>
      <c r="E12" s="91">
        <f>J36</f>
        <v>317.81</v>
      </c>
      <c r="F12" s="49">
        <f>TRUNC(E12*D12,2)</f>
        <v>1906.86</v>
      </c>
    </row>
    <row r="13" spans="1:10">
      <c r="A13" s="58"/>
      <c r="B13" s="337"/>
      <c r="C13" s="338"/>
      <c r="D13" s="341" t="s">
        <v>101</v>
      </c>
      <c r="E13" s="332"/>
      <c r="F13" s="51">
        <f>SUM(F11:F12)</f>
        <v>34003.5</v>
      </c>
    </row>
    <row r="14" spans="1:10">
      <c r="A14" s="55">
        <v>2</v>
      </c>
      <c r="B14" s="333" t="s">
        <v>181</v>
      </c>
      <c r="C14" s="334"/>
      <c r="D14" s="334"/>
      <c r="E14" s="334"/>
      <c r="F14" s="346"/>
    </row>
    <row r="15" spans="1:10">
      <c r="A15" s="56" t="s">
        <v>102</v>
      </c>
      <c r="B15" s="48" t="s">
        <v>235</v>
      </c>
      <c r="C15" s="56" t="s">
        <v>98</v>
      </c>
      <c r="D15" s="57">
        <f>D11</f>
        <v>6</v>
      </c>
      <c r="E15" s="92">
        <f>G43</f>
        <v>6537.42</v>
      </c>
      <c r="F15" s="49">
        <f>TRUNC(E15*D15,2)</f>
        <v>39224.519999999997</v>
      </c>
    </row>
    <row r="16" spans="1:10">
      <c r="A16" s="56" t="s">
        <v>173</v>
      </c>
      <c r="B16" s="48" t="s">
        <v>174</v>
      </c>
      <c r="C16" s="56" t="s">
        <v>175</v>
      </c>
      <c r="D16" s="84">
        <f>D11</f>
        <v>6</v>
      </c>
      <c r="E16" s="93">
        <f>J49</f>
        <v>5976.43</v>
      </c>
      <c r="F16" s="49">
        <f>TRUNC(E16*D16,2)</f>
        <v>35858.58</v>
      </c>
    </row>
    <row r="17" spans="1:22">
      <c r="A17" s="58"/>
      <c r="B17" s="50"/>
      <c r="C17" s="58"/>
      <c r="D17" s="341" t="s">
        <v>103</v>
      </c>
      <c r="E17" s="340"/>
      <c r="F17" s="51">
        <f>SUM(F15:F16)</f>
        <v>75083.100000000006</v>
      </c>
    </row>
    <row r="18" spans="1:22">
      <c r="A18" s="55">
        <v>3</v>
      </c>
      <c r="B18" s="333" t="s">
        <v>178</v>
      </c>
      <c r="C18" s="334"/>
      <c r="D18" s="335"/>
      <c r="E18" s="335"/>
      <c r="F18" s="336"/>
    </row>
    <row r="19" spans="1:22">
      <c r="A19" s="56" t="s">
        <v>104</v>
      </c>
      <c r="B19" s="48" t="s">
        <v>97</v>
      </c>
      <c r="C19" s="87" t="s">
        <v>98</v>
      </c>
      <c r="D19" s="89">
        <f>F72</f>
        <v>0.95399999999999996</v>
      </c>
      <c r="E19" s="93">
        <f>G56</f>
        <v>8341.4</v>
      </c>
      <c r="F19" s="90">
        <f>TRUNC(E19*D19,2)</f>
        <v>7957.69</v>
      </c>
    </row>
    <row r="20" spans="1:22">
      <c r="A20" s="56" t="s">
        <v>179</v>
      </c>
      <c r="B20" s="48" t="s">
        <v>100</v>
      </c>
      <c r="C20" s="87" t="s">
        <v>98</v>
      </c>
      <c r="D20" s="89">
        <f>D19</f>
        <v>0.95399999999999996</v>
      </c>
      <c r="E20" s="93">
        <f>J63</f>
        <v>6859.78</v>
      </c>
      <c r="F20" s="90">
        <f>TRUNC(E20*D20,2)</f>
        <v>6544.23</v>
      </c>
    </row>
    <row r="21" spans="1:22">
      <c r="A21" s="58"/>
      <c r="B21" s="337"/>
      <c r="C21" s="338"/>
      <c r="D21" s="339" t="s">
        <v>105</v>
      </c>
      <c r="E21" s="340"/>
      <c r="F21" s="88">
        <f>SUM(F19:F19)</f>
        <v>7957.69</v>
      </c>
    </row>
    <row r="22" spans="1:22">
      <c r="A22" s="342"/>
      <c r="B22" s="343"/>
      <c r="C22" s="343"/>
      <c r="D22" s="343"/>
      <c r="E22" s="343"/>
      <c r="F22" s="344"/>
    </row>
    <row r="23" spans="1:22">
      <c r="A23" s="58"/>
      <c r="B23" s="337"/>
      <c r="C23" s="338"/>
      <c r="D23" s="341" t="s">
        <v>106</v>
      </c>
      <c r="E23" s="332"/>
      <c r="F23" s="51">
        <f>F21+F17+F13</f>
        <v>117044.29000000001</v>
      </c>
    </row>
    <row r="24" spans="1:22">
      <c r="A24" s="55">
        <v>4</v>
      </c>
      <c r="B24" s="59" t="s">
        <v>107</v>
      </c>
      <c r="C24" s="56" t="s">
        <v>108</v>
      </c>
      <c r="D24" s="308">
        <v>5</v>
      </c>
      <c r="E24" s="309"/>
      <c r="F24" s="51">
        <f>TRUNC(D24*F23/100,2)</f>
        <v>5852.21</v>
      </c>
    </row>
    <row r="25" spans="1:22">
      <c r="A25" s="58"/>
      <c r="B25" s="50"/>
      <c r="C25" s="58"/>
      <c r="D25" s="331" t="s">
        <v>109</v>
      </c>
      <c r="E25" s="332"/>
      <c r="F25" s="51">
        <f>F24+F23</f>
        <v>122896.50000000001</v>
      </c>
    </row>
    <row r="27" spans="1:22" s="36" customFormat="1" ht="13.5" customHeight="1">
      <c r="A27" s="328" t="s">
        <v>110</v>
      </c>
      <c r="B27" s="329"/>
      <c r="C27" s="329"/>
      <c r="D27" s="329"/>
      <c r="E27" s="329"/>
      <c r="F27" s="329"/>
      <c r="G27" s="330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</row>
    <row r="28" spans="1:22" s="36" customFormat="1" ht="13.5" customHeight="1">
      <c r="A28" s="60" t="s">
        <v>111</v>
      </c>
      <c r="B28" s="60" t="s">
        <v>112</v>
      </c>
      <c r="C28" s="60" t="s">
        <v>113</v>
      </c>
      <c r="D28" s="60" t="s">
        <v>114</v>
      </c>
      <c r="E28" s="60" t="s">
        <v>115</v>
      </c>
      <c r="F28" s="60" t="s">
        <v>116</v>
      </c>
      <c r="G28" s="60" t="s">
        <v>117</v>
      </c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</row>
    <row r="29" spans="1:22" ht="13.5" customHeight="1">
      <c r="A29" s="61" t="s">
        <v>168</v>
      </c>
      <c r="B29" s="315" t="s">
        <v>118</v>
      </c>
      <c r="C29" s="316"/>
      <c r="D29" s="316"/>
      <c r="E29" s="316"/>
      <c r="F29" s="316"/>
      <c r="G29" s="317"/>
      <c r="P29" s="35"/>
      <c r="Q29" s="35"/>
      <c r="R29" s="35"/>
      <c r="S29" s="35"/>
      <c r="T29" s="35"/>
      <c r="U29" s="35"/>
    </row>
    <row r="30" spans="1:22" ht="13.5" customHeight="1">
      <c r="A30" s="63" t="s">
        <v>119</v>
      </c>
      <c r="B30" s="64" t="s">
        <v>120</v>
      </c>
      <c r="C30" s="62" t="s">
        <v>121</v>
      </c>
      <c r="D30" s="62" t="s">
        <v>122</v>
      </c>
      <c r="E30" s="65">
        <v>0.25</v>
      </c>
      <c r="F30" s="66">
        <v>21397.773099999999</v>
      </c>
      <c r="G30" s="67">
        <f>TRUNC(F30*E30,2)</f>
        <v>5349.44</v>
      </c>
      <c r="P30" s="35"/>
      <c r="Q30" s="35"/>
      <c r="R30" s="35"/>
      <c r="S30" s="35"/>
      <c r="T30" s="35"/>
      <c r="U30" s="35"/>
    </row>
    <row r="31" spans="1:22" ht="13.5" customHeight="1">
      <c r="A31" s="322" t="s">
        <v>123</v>
      </c>
      <c r="B31" s="323"/>
      <c r="C31" s="323"/>
      <c r="D31" s="323"/>
      <c r="E31" s="323"/>
      <c r="F31" s="324"/>
      <c r="G31" s="68">
        <f>G30</f>
        <v>5349.44</v>
      </c>
      <c r="P31" s="35"/>
      <c r="Q31" s="35"/>
      <c r="R31" s="35"/>
      <c r="S31" s="35"/>
      <c r="T31" s="35"/>
      <c r="U31" s="35"/>
    </row>
    <row r="32" spans="1:22">
      <c r="A32" s="328" t="s">
        <v>110</v>
      </c>
      <c r="B32" s="329"/>
      <c r="C32" s="329"/>
      <c r="D32" s="329"/>
      <c r="E32" s="329"/>
      <c r="F32" s="329"/>
      <c r="G32" s="329"/>
      <c r="H32" s="329"/>
      <c r="I32" s="329"/>
      <c r="J32" s="330"/>
      <c r="P32" s="35"/>
      <c r="Q32" s="35"/>
      <c r="R32" s="35"/>
      <c r="S32" s="35"/>
      <c r="T32" s="35"/>
      <c r="U32" s="35"/>
    </row>
    <row r="33" spans="1:22" ht="31.5">
      <c r="A33" s="60" t="s">
        <v>111</v>
      </c>
      <c r="B33" s="60" t="s">
        <v>112</v>
      </c>
      <c r="C33" s="60" t="s">
        <v>113</v>
      </c>
      <c r="D33" s="60" t="s">
        <v>124</v>
      </c>
      <c r="E33" s="60" t="s">
        <v>125</v>
      </c>
      <c r="F33" s="60" t="s">
        <v>126</v>
      </c>
      <c r="G33" s="60" t="s">
        <v>127</v>
      </c>
      <c r="H33" s="69" t="s">
        <v>128</v>
      </c>
      <c r="I33" s="60" t="s">
        <v>129</v>
      </c>
      <c r="J33" s="70" t="s">
        <v>130</v>
      </c>
      <c r="P33" s="35"/>
      <c r="Q33" s="35"/>
      <c r="R33" s="35"/>
      <c r="S33" s="35"/>
      <c r="T33" s="35"/>
      <c r="U33" s="35"/>
    </row>
    <row r="34" spans="1:22" ht="13.5" customHeight="1">
      <c r="A34" s="61" t="s">
        <v>169</v>
      </c>
      <c r="B34" s="315" t="s">
        <v>131</v>
      </c>
      <c r="C34" s="316"/>
      <c r="D34" s="316"/>
      <c r="E34" s="316"/>
      <c r="F34" s="316"/>
      <c r="G34" s="316"/>
      <c r="H34" s="316"/>
      <c r="I34" s="316"/>
      <c r="J34" s="317"/>
      <c r="P34" s="35"/>
      <c r="Q34" s="35"/>
      <c r="R34" s="35"/>
      <c r="S34" s="35"/>
      <c r="T34" s="35"/>
      <c r="U34" s="35"/>
    </row>
    <row r="35" spans="1:22" ht="13.5" customHeight="1">
      <c r="A35" s="63" t="s">
        <v>132</v>
      </c>
      <c r="B35" s="64" t="s">
        <v>133</v>
      </c>
      <c r="C35" s="62" t="s">
        <v>134</v>
      </c>
      <c r="D35" s="62" t="s">
        <v>135</v>
      </c>
      <c r="E35" s="65">
        <v>0.25</v>
      </c>
      <c r="F35" s="65">
        <v>44</v>
      </c>
      <c r="G35" s="65">
        <v>176</v>
      </c>
      <c r="H35" s="71">
        <v>18.283899999999999</v>
      </c>
      <c r="I35" s="71">
        <v>2.6522000000000001</v>
      </c>
      <c r="J35" s="67">
        <f>TRUNC(E35*((F35*H35)+(G35*I35)),2)</f>
        <v>317.81</v>
      </c>
      <c r="P35" s="35"/>
      <c r="Q35" s="35"/>
      <c r="R35" s="35"/>
      <c r="S35" s="35"/>
      <c r="T35" s="35"/>
      <c r="U35" s="35"/>
    </row>
    <row r="36" spans="1:22" ht="13.5" customHeight="1">
      <c r="A36" s="310" t="s">
        <v>139</v>
      </c>
      <c r="B36" s="323"/>
      <c r="C36" s="323"/>
      <c r="D36" s="323"/>
      <c r="E36" s="323"/>
      <c r="F36" s="323"/>
      <c r="G36" s="323"/>
      <c r="H36" s="323"/>
      <c r="I36" s="323"/>
      <c r="J36" s="72">
        <f>SUM(J35:J35)</f>
        <v>317.81</v>
      </c>
      <c r="P36" s="35"/>
      <c r="Q36" s="35"/>
      <c r="R36" s="35"/>
      <c r="S36" s="35"/>
      <c r="T36" s="35"/>
      <c r="U36" s="35"/>
    </row>
    <row r="38" spans="1:22" ht="13.5" customHeight="1">
      <c r="A38" s="312" t="s">
        <v>170</v>
      </c>
      <c r="B38" s="318"/>
      <c r="C38" s="318"/>
      <c r="D38" s="318"/>
      <c r="E38" s="318"/>
      <c r="F38" s="318"/>
      <c r="G38" s="318"/>
      <c r="O38" s="52"/>
      <c r="P38" s="53"/>
      <c r="Q38" s="52"/>
      <c r="T38" s="53"/>
      <c r="V38" s="35"/>
    </row>
    <row r="39" spans="1:22" ht="13.5" customHeight="1">
      <c r="A39" s="73" t="s">
        <v>111</v>
      </c>
      <c r="B39" s="73" t="s">
        <v>112</v>
      </c>
      <c r="C39" s="73" t="s">
        <v>113</v>
      </c>
      <c r="D39" s="73" t="s">
        <v>114</v>
      </c>
      <c r="E39" s="73" t="s">
        <v>115</v>
      </c>
      <c r="F39" s="73" t="s">
        <v>116</v>
      </c>
      <c r="G39" s="73" t="s">
        <v>117</v>
      </c>
      <c r="H39" s="35"/>
    </row>
    <row r="40" spans="1:22" ht="13.5" customHeight="1">
      <c r="A40" s="83" t="s">
        <v>182</v>
      </c>
      <c r="B40" s="79" t="s">
        <v>118</v>
      </c>
      <c r="C40" s="80"/>
      <c r="D40" s="80"/>
      <c r="E40" s="80"/>
      <c r="F40" s="80"/>
      <c r="G40" s="81"/>
      <c r="H40" s="35"/>
    </row>
    <row r="41" spans="1:22" ht="13.5" customHeight="1">
      <c r="A41" s="63" t="s">
        <v>132</v>
      </c>
      <c r="B41" s="82" t="s">
        <v>171</v>
      </c>
      <c r="C41" s="83" t="s">
        <v>172</v>
      </c>
      <c r="D41" s="62" t="s">
        <v>122</v>
      </c>
      <c r="E41" s="65">
        <v>0.5</v>
      </c>
      <c r="F41" s="66">
        <v>6508.6082999999999</v>
      </c>
      <c r="G41" s="67">
        <f>TRUNC(F41*E41,2)</f>
        <v>3254.3</v>
      </c>
      <c r="H41" s="35"/>
    </row>
    <row r="42" spans="1:22" ht="13.5" customHeight="1">
      <c r="A42" s="63" t="s">
        <v>136</v>
      </c>
      <c r="B42" s="64" t="s">
        <v>140</v>
      </c>
      <c r="C42" s="62" t="s">
        <v>141</v>
      </c>
      <c r="D42" s="62" t="s">
        <v>122</v>
      </c>
      <c r="E42" s="65">
        <v>1</v>
      </c>
      <c r="F42" s="66">
        <v>3283.1246000000001</v>
      </c>
      <c r="G42" s="67">
        <f>TRUNC(F42*E42,2)</f>
        <v>3283.12</v>
      </c>
      <c r="H42" s="35"/>
    </row>
    <row r="43" spans="1:22" ht="13.5" customHeight="1">
      <c r="A43" s="310" t="s">
        <v>142</v>
      </c>
      <c r="B43" s="311"/>
      <c r="C43" s="311"/>
      <c r="D43" s="311"/>
      <c r="E43" s="311"/>
      <c r="F43" s="311"/>
      <c r="G43" s="72">
        <f>SUM(G41:G42)</f>
        <v>6537.42</v>
      </c>
      <c r="H43" s="35"/>
    </row>
    <row r="45" spans="1:22" ht="12.75" customHeight="1">
      <c r="A45" s="312" t="s">
        <v>170</v>
      </c>
      <c r="B45" s="313"/>
      <c r="C45" s="313"/>
      <c r="D45" s="313"/>
      <c r="E45" s="313"/>
      <c r="F45" s="313"/>
      <c r="G45" s="313"/>
      <c r="H45" s="313"/>
      <c r="I45" s="313"/>
      <c r="J45" s="314"/>
      <c r="O45" s="52"/>
      <c r="P45" s="53"/>
      <c r="Q45" s="52"/>
      <c r="T45" s="53"/>
      <c r="V45" s="35"/>
    </row>
    <row r="46" spans="1:22" s="36" customFormat="1" ht="31.5">
      <c r="A46" s="73" t="s">
        <v>111</v>
      </c>
      <c r="B46" s="73" t="s">
        <v>112</v>
      </c>
      <c r="C46" s="73" t="s">
        <v>113</v>
      </c>
      <c r="D46" s="73" t="s">
        <v>124</v>
      </c>
      <c r="E46" s="73" t="s">
        <v>115</v>
      </c>
      <c r="F46" s="73" t="s">
        <v>126</v>
      </c>
      <c r="G46" s="73" t="s">
        <v>127</v>
      </c>
      <c r="H46" s="73" t="s">
        <v>143</v>
      </c>
      <c r="I46" s="73" t="s">
        <v>129</v>
      </c>
      <c r="J46" s="73" t="s">
        <v>130</v>
      </c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</row>
    <row r="47" spans="1:22" ht="13.5" customHeight="1">
      <c r="A47" s="83" t="s">
        <v>173</v>
      </c>
      <c r="B47" s="315" t="s">
        <v>131</v>
      </c>
      <c r="C47" s="316"/>
      <c r="D47" s="316"/>
      <c r="E47" s="316"/>
      <c r="F47" s="316"/>
      <c r="G47" s="316"/>
      <c r="H47" s="316"/>
      <c r="I47" s="316"/>
      <c r="J47" s="317"/>
      <c r="O47" s="52"/>
      <c r="P47" s="53"/>
      <c r="Q47" s="52"/>
      <c r="T47" s="53"/>
      <c r="V47" s="35"/>
    </row>
    <row r="48" spans="1:22" ht="13.5" customHeight="1">
      <c r="A48" s="63" t="s">
        <v>137</v>
      </c>
      <c r="B48" s="64" t="s">
        <v>133</v>
      </c>
      <c r="C48" s="62" t="s">
        <v>138</v>
      </c>
      <c r="D48" s="62" t="s">
        <v>135</v>
      </c>
      <c r="E48" s="65">
        <v>1</v>
      </c>
      <c r="F48" s="65">
        <v>44</v>
      </c>
      <c r="G48" s="65">
        <v>176</v>
      </c>
      <c r="H48" s="71">
        <v>43.914499999999997</v>
      </c>
      <c r="I48" s="71">
        <v>22.978400000000001</v>
      </c>
      <c r="J48" s="67">
        <f>TRUNC(E48*((F48*H48)+(G48*I48)),2)</f>
        <v>5976.43</v>
      </c>
      <c r="O48" s="52"/>
      <c r="P48" s="53"/>
      <c r="Q48" s="52"/>
      <c r="T48" s="53"/>
      <c r="V48" s="35"/>
    </row>
    <row r="49" spans="1:22" ht="13.5" customHeight="1">
      <c r="A49" s="310" t="s">
        <v>145</v>
      </c>
      <c r="B49" s="311"/>
      <c r="C49" s="311"/>
      <c r="D49" s="311"/>
      <c r="E49" s="311"/>
      <c r="F49" s="311"/>
      <c r="G49" s="311"/>
      <c r="H49" s="311"/>
      <c r="I49" s="311"/>
      <c r="J49" s="72">
        <f>SUM(J48:J48)</f>
        <v>5976.43</v>
      </c>
      <c r="O49" s="52"/>
      <c r="P49" s="53"/>
      <c r="Q49" s="52"/>
      <c r="T49" s="53"/>
      <c r="V49" s="35"/>
    </row>
    <row r="51" spans="1:22" ht="13.5" customHeight="1">
      <c r="A51" s="319" t="s">
        <v>146</v>
      </c>
      <c r="B51" s="320"/>
      <c r="C51" s="320"/>
      <c r="D51" s="320"/>
      <c r="E51" s="320"/>
      <c r="F51" s="320"/>
      <c r="G51" s="321"/>
      <c r="H51" s="52"/>
      <c r="I51" s="52"/>
      <c r="J51" s="52"/>
    </row>
    <row r="52" spans="1:22" ht="13.5" customHeight="1">
      <c r="A52" s="74" t="s">
        <v>111</v>
      </c>
      <c r="B52" s="74" t="s">
        <v>112</v>
      </c>
      <c r="C52" s="74" t="s">
        <v>113</v>
      </c>
      <c r="D52" s="74" t="s">
        <v>114</v>
      </c>
      <c r="E52" s="74" t="s">
        <v>115</v>
      </c>
      <c r="F52" s="74" t="s">
        <v>116</v>
      </c>
      <c r="G52" s="74" t="s">
        <v>117</v>
      </c>
      <c r="H52" s="52"/>
      <c r="I52" s="52"/>
      <c r="J52" s="52"/>
    </row>
    <row r="53" spans="1:22" ht="13.5" customHeight="1">
      <c r="A53" s="83" t="s">
        <v>183</v>
      </c>
      <c r="B53" s="315" t="s">
        <v>118</v>
      </c>
      <c r="C53" s="316"/>
      <c r="D53" s="316"/>
      <c r="E53" s="316"/>
      <c r="F53" s="316"/>
      <c r="G53" s="317"/>
    </row>
    <row r="54" spans="1:22" ht="13.5" customHeight="1">
      <c r="A54" s="63" t="s">
        <v>185</v>
      </c>
      <c r="B54" s="64" t="s">
        <v>147</v>
      </c>
      <c r="C54" s="62" t="s">
        <v>148</v>
      </c>
      <c r="D54" s="62" t="s">
        <v>122</v>
      </c>
      <c r="E54" s="65">
        <v>1</v>
      </c>
      <c r="F54" s="66">
        <v>4943.4233000000004</v>
      </c>
      <c r="G54" s="67">
        <f>TRUNC(F54*E54,2)</f>
        <v>4943.42</v>
      </c>
    </row>
    <row r="55" spans="1:22" ht="13.5" customHeight="1">
      <c r="A55" s="63" t="s">
        <v>186</v>
      </c>
      <c r="B55" s="64" t="s">
        <v>149</v>
      </c>
      <c r="C55" s="62" t="s">
        <v>150</v>
      </c>
      <c r="D55" s="62" t="s">
        <v>122</v>
      </c>
      <c r="E55" s="65">
        <v>1</v>
      </c>
      <c r="F55" s="66">
        <v>3397.9841000000001</v>
      </c>
      <c r="G55" s="67">
        <f>TRUNC(F55*E55,2)</f>
        <v>3397.98</v>
      </c>
    </row>
    <row r="56" spans="1:22" ht="13.5" customHeight="1">
      <c r="A56" s="310" t="s">
        <v>151</v>
      </c>
      <c r="B56" s="323"/>
      <c r="C56" s="323"/>
      <c r="D56" s="323"/>
      <c r="E56" s="323"/>
      <c r="F56" s="323"/>
      <c r="G56" s="72">
        <f>SUM(G54:G55)</f>
        <v>8341.4</v>
      </c>
    </row>
    <row r="58" spans="1:22" ht="12.75" customHeight="1">
      <c r="A58" s="319" t="s">
        <v>146</v>
      </c>
      <c r="B58" s="320"/>
      <c r="C58" s="320"/>
      <c r="D58" s="320"/>
      <c r="E58" s="320"/>
      <c r="F58" s="320"/>
      <c r="G58" s="320"/>
      <c r="H58" s="320"/>
      <c r="I58" s="320"/>
      <c r="J58" s="321"/>
    </row>
    <row r="59" spans="1:22" ht="31.5">
      <c r="A59" s="74" t="s">
        <v>111</v>
      </c>
      <c r="B59" s="74" t="s">
        <v>112</v>
      </c>
      <c r="C59" s="74" t="s">
        <v>113</v>
      </c>
      <c r="D59" s="74" t="s">
        <v>124</v>
      </c>
      <c r="E59" s="74" t="s">
        <v>125</v>
      </c>
      <c r="F59" s="74" t="s">
        <v>126</v>
      </c>
      <c r="G59" s="74" t="s">
        <v>127</v>
      </c>
      <c r="H59" s="75" t="s">
        <v>128</v>
      </c>
      <c r="I59" s="74" t="s">
        <v>129</v>
      </c>
      <c r="J59" s="74" t="s">
        <v>130</v>
      </c>
    </row>
    <row r="60" spans="1:22">
      <c r="A60" s="83" t="s">
        <v>179</v>
      </c>
      <c r="B60" s="315" t="s">
        <v>131</v>
      </c>
      <c r="C60" s="316"/>
      <c r="D60" s="316"/>
      <c r="E60" s="316"/>
      <c r="F60" s="316"/>
      <c r="G60" s="316"/>
      <c r="H60" s="316"/>
      <c r="I60" s="316"/>
      <c r="J60" s="317"/>
    </row>
    <row r="61" spans="1:22" ht="22.5">
      <c r="A61" s="63" t="s">
        <v>184</v>
      </c>
      <c r="B61" s="64" t="s">
        <v>152</v>
      </c>
      <c r="C61" s="62" t="s">
        <v>153</v>
      </c>
      <c r="D61" s="62" t="s">
        <v>135</v>
      </c>
      <c r="E61" s="65">
        <v>1</v>
      </c>
      <c r="F61" s="65">
        <v>44</v>
      </c>
      <c r="G61" s="65">
        <v>176</v>
      </c>
      <c r="H61" s="71">
        <v>46.846299999999999</v>
      </c>
      <c r="I61" s="71">
        <v>27.264500000000002</v>
      </c>
      <c r="J61" s="67">
        <f>TRUNC(E61*((F61*H61)+(G61*I61)),2)</f>
        <v>6859.78</v>
      </c>
    </row>
    <row r="62" spans="1:22" ht="12.75" customHeight="1">
      <c r="A62" s="322" t="s">
        <v>144</v>
      </c>
      <c r="B62" s="323"/>
      <c r="C62" s="323"/>
      <c r="D62" s="323"/>
      <c r="E62" s="323"/>
      <c r="F62" s="323"/>
      <c r="G62" s="323"/>
      <c r="H62" s="323"/>
      <c r="I62" s="324"/>
      <c r="J62" s="68">
        <f>J61</f>
        <v>6859.78</v>
      </c>
    </row>
    <row r="63" spans="1:22" ht="12.75" customHeight="1">
      <c r="A63" s="310" t="s">
        <v>154</v>
      </c>
      <c r="B63" s="311"/>
      <c r="C63" s="311"/>
      <c r="D63" s="311"/>
      <c r="E63" s="311"/>
      <c r="F63" s="311"/>
      <c r="G63" s="311"/>
      <c r="H63" s="311"/>
      <c r="I63" s="311"/>
      <c r="J63" s="72">
        <f>J62</f>
        <v>6859.78</v>
      </c>
    </row>
    <row r="64" spans="1:22" ht="12.75" customHeight="1">
      <c r="A64" s="160"/>
      <c r="B64" s="160"/>
      <c r="C64" s="160"/>
      <c r="D64" s="160"/>
      <c r="E64" s="160"/>
      <c r="F64" s="160"/>
      <c r="G64" s="160"/>
      <c r="H64" s="160"/>
      <c r="I64" s="160"/>
      <c r="J64" s="161"/>
    </row>
    <row r="66" spans="1:6" ht="13.5" customHeight="1">
      <c r="A66" s="325" t="s">
        <v>155</v>
      </c>
      <c r="B66" s="326"/>
      <c r="C66" s="326"/>
      <c r="D66" s="326"/>
      <c r="E66" s="326"/>
      <c r="F66" s="327"/>
    </row>
    <row r="67" spans="1:6" ht="13.5" customHeight="1">
      <c r="A67" s="76" t="s">
        <v>111</v>
      </c>
      <c r="B67" s="76" t="s">
        <v>112</v>
      </c>
      <c r="C67" s="85" t="s">
        <v>176</v>
      </c>
      <c r="D67" s="76" t="s">
        <v>115</v>
      </c>
      <c r="E67" s="76" t="s">
        <v>156</v>
      </c>
      <c r="F67" s="76" t="s">
        <v>157</v>
      </c>
    </row>
    <row r="68" spans="1:6" ht="13.5" customHeight="1">
      <c r="A68" s="62" t="s">
        <v>158</v>
      </c>
      <c r="B68" s="315" t="s">
        <v>159</v>
      </c>
      <c r="C68" s="316"/>
      <c r="D68" s="316"/>
      <c r="E68" s="316"/>
      <c r="F68" s="317"/>
    </row>
    <row r="69" spans="1:6" ht="13.5" customHeight="1">
      <c r="A69" s="62" t="s">
        <v>160</v>
      </c>
      <c r="B69" s="64" t="s">
        <v>161</v>
      </c>
      <c r="C69" s="62" t="s">
        <v>162</v>
      </c>
      <c r="D69" s="77">
        <f>Orçamento!E17+Orçamento!E22</f>
        <v>77800.91</v>
      </c>
      <c r="E69" s="77">
        <v>3610000</v>
      </c>
      <c r="F69" s="78">
        <f>D69/E69</f>
        <v>2.1551498614958451E-2</v>
      </c>
    </row>
    <row r="70" spans="1:6" ht="25.5" customHeight="1">
      <c r="A70" s="62" t="s">
        <v>163</v>
      </c>
      <c r="B70" s="64" t="s">
        <v>164</v>
      </c>
      <c r="C70" s="62" t="s">
        <v>165</v>
      </c>
      <c r="D70" s="77">
        <f>Orçamento!E18+Orçamento!E24</f>
        <v>7961.3649999999998</v>
      </c>
      <c r="E70" s="77">
        <v>9000</v>
      </c>
      <c r="F70" s="78">
        <f t="shared" ref="F70:F71" si="0">D70/E70</f>
        <v>0.88459611111111114</v>
      </c>
    </row>
    <row r="71" spans="1:6" ht="13.5" customHeight="1">
      <c r="A71" s="62" t="s">
        <v>166</v>
      </c>
      <c r="B71" s="64" t="s">
        <v>167</v>
      </c>
      <c r="C71" s="62" t="s">
        <v>162</v>
      </c>
      <c r="D71" s="77">
        <f>Orçamento!E20</f>
        <v>77800.91</v>
      </c>
      <c r="E71" s="77">
        <v>1610000</v>
      </c>
      <c r="F71" s="78">
        <f t="shared" si="0"/>
        <v>4.8323546583850935E-2</v>
      </c>
    </row>
    <row r="72" spans="1:6" ht="13.5" customHeight="1">
      <c r="A72" s="310" t="s">
        <v>177</v>
      </c>
      <c r="B72" s="311"/>
      <c r="C72" s="311"/>
      <c r="D72" s="311"/>
      <c r="E72" s="311"/>
      <c r="F72" s="86">
        <f>TRUNC(SUM(F69:F71),3)</f>
        <v>0.95399999999999996</v>
      </c>
    </row>
  </sheetData>
  <mergeCells count="41">
    <mergeCell ref="D17:E17"/>
    <mergeCell ref="A8:F8"/>
    <mergeCell ref="B10:F10"/>
    <mergeCell ref="B13:C13"/>
    <mergeCell ref="D13:E13"/>
    <mergeCell ref="B14:F14"/>
    <mergeCell ref="B18:F18"/>
    <mergeCell ref="B21:C21"/>
    <mergeCell ref="D21:E21"/>
    <mergeCell ref="B23:C23"/>
    <mergeCell ref="D23:E23"/>
    <mergeCell ref="A22:F22"/>
    <mergeCell ref="A36:I36"/>
    <mergeCell ref="A31:F31"/>
    <mergeCell ref="A32:J32"/>
    <mergeCell ref="B34:J34"/>
    <mergeCell ref="D25:E25"/>
    <mergeCell ref="A27:G27"/>
    <mergeCell ref="B29:G29"/>
    <mergeCell ref="D24:E24"/>
    <mergeCell ref="A72:E72"/>
    <mergeCell ref="A45:J45"/>
    <mergeCell ref="B47:J47"/>
    <mergeCell ref="A49:I49"/>
    <mergeCell ref="A43:F43"/>
    <mergeCell ref="A38:G38"/>
    <mergeCell ref="B60:J60"/>
    <mergeCell ref="A58:J58"/>
    <mergeCell ref="A62:I62"/>
    <mergeCell ref="A63:I63"/>
    <mergeCell ref="A66:F66"/>
    <mergeCell ref="B68:F68"/>
    <mergeCell ref="B53:G53"/>
    <mergeCell ref="A56:F56"/>
    <mergeCell ref="A51:G51"/>
    <mergeCell ref="D6:J6"/>
    <mergeCell ref="A6:C6"/>
    <mergeCell ref="D5:J5"/>
    <mergeCell ref="A1:J1"/>
    <mergeCell ref="A2:J4"/>
    <mergeCell ref="A5:C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tabSelected="1" zoomScale="90" zoomScaleNormal="90" workbookViewId="0">
      <selection activeCell="H88" sqref="H88"/>
    </sheetView>
  </sheetViews>
  <sheetFormatPr defaultColWidth="9" defaultRowHeight="15"/>
  <cols>
    <col min="1" max="1" width="4.42578125" style="206" customWidth="1"/>
    <col min="2" max="2" width="34" style="223" customWidth="1"/>
    <col min="3" max="3" width="32" style="3" hidden="1" customWidth="1"/>
    <col min="4" max="4" width="31.85546875" style="3" hidden="1" customWidth="1"/>
    <col min="5" max="5" width="5.140625" style="3" customWidth="1"/>
    <col min="6" max="6" width="16.85546875" style="3" customWidth="1"/>
    <col min="7" max="7" width="11.42578125" style="3" customWidth="1"/>
    <col min="8" max="10" width="14.5703125" style="3" customWidth="1"/>
    <col min="11" max="11" width="21.7109375" style="3" customWidth="1"/>
    <col min="12" max="12" width="16.7109375" style="3" customWidth="1"/>
    <col min="13" max="13" width="14.5703125" style="3" customWidth="1"/>
    <col min="14" max="14" width="16.7109375" style="3" customWidth="1"/>
    <col min="15" max="15" width="14.5703125" style="3" customWidth="1"/>
  </cols>
  <sheetData>
    <row r="1" spans="1:15" ht="17.25" customHeight="1">
      <c r="A1" s="353" t="s">
        <v>267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1:15">
      <c r="A2" s="193"/>
      <c r="B2" s="355" t="s">
        <v>268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6"/>
    </row>
    <row r="3" spans="1:15">
      <c r="A3" s="194"/>
      <c r="B3" s="208" t="s">
        <v>269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5"/>
    </row>
    <row r="4" spans="1:15" ht="30">
      <c r="A4" s="209"/>
      <c r="B4" s="210" t="s">
        <v>215</v>
      </c>
      <c r="C4" s="351" t="s">
        <v>253</v>
      </c>
      <c r="D4" s="352"/>
      <c r="E4" s="210" t="s">
        <v>216</v>
      </c>
      <c r="F4" s="210" t="s">
        <v>270</v>
      </c>
      <c r="G4" s="210" t="s">
        <v>271</v>
      </c>
      <c r="H4" s="211" t="s">
        <v>217</v>
      </c>
      <c r="I4" s="211" t="s">
        <v>272</v>
      </c>
      <c r="J4" s="211" t="s">
        <v>273</v>
      </c>
      <c r="K4" s="210" t="s">
        <v>218</v>
      </c>
      <c r="L4" s="351" t="s">
        <v>190</v>
      </c>
      <c r="M4" s="352"/>
      <c r="N4" s="351" t="s">
        <v>254</v>
      </c>
      <c r="O4" s="352"/>
    </row>
    <row r="5" spans="1:15">
      <c r="A5" s="207"/>
      <c r="B5" s="348"/>
      <c r="C5" s="349"/>
      <c r="D5" s="349"/>
      <c r="E5" s="349"/>
      <c r="F5" s="349"/>
      <c r="G5" s="349"/>
      <c r="H5" s="349"/>
      <c r="I5" s="349"/>
      <c r="J5" s="349"/>
      <c r="K5" s="350"/>
      <c r="L5" s="3" t="s">
        <v>219</v>
      </c>
      <c r="M5" s="3" t="s">
        <v>220</v>
      </c>
      <c r="N5" s="3" t="s">
        <v>219</v>
      </c>
      <c r="O5" s="3" t="s">
        <v>220</v>
      </c>
    </row>
    <row r="6" spans="1:15" s="216" customFormat="1" ht="15" customHeight="1">
      <c r="A6" s="212">
        <v>1</v>
      </c>
      <c r="B6" s="221" t="s">
        <v>288</v>
      </c>
      <c r="C6" s="227" t="s">
        <v>306</v>
      </c>
      <c r="D6" s="227" t="s">
        <v>289</v>
      </c>
      <c r="E6" s="219" t="s">
        <v>279</v>
      </c>
      <c r="F6" s="214">
        <v>125.1</v>
      </c>
      <c r="G6" s="214">
        <v>9.4</v>
      </c>
      <c r="H6" s="214">
        <f>F6*G6</f>
        <v>1175.94</v>
      </c>
      <c r="I6" s="214"/>
      <c r="J6" s="214">
        <f>H6+I6</f>
        <v>1175.94</v>
      </c>
      <c r="K6" s="229">
        <v>120.42</v>
      </c>
      <c r="L6" s="215">
        <v>2.2000000000000002</v>
      </c>
      <c r="M6" s="215">
        <v>5.2</v>
      </c>
      <c r="N6" s="215">
        <v>0.45</v>
      </c>
      <c r="O6" s="215">
        <v>3.5</v>
      </c>
    </row>
    <row r="7" spans="1:15" s="216" customFormat="1">
      <c r="A7" s="212">
        <v>2</v>
      </c>
      <c r="B7" s="221" t="s">
        <v>307</v>
      </c>
      <c r="C7" s="227" t="s">
        <v>306</v>
      </c>
      <c r="D7" s="227" t="s">
        <v>289</v>
      </c>
      <c r="E7" s="219" t="s">
        <v>279</v>
      </c>
      <c r="F7" s="214">
        <v>86.3</v>
      </c>
      <c r="G7" s="214">
        <v>8.1</v>
      </c>
      <c r="H7" s="214">
        <f>F7*G7</f>
        <v>699.03</v>
      </c>
      <c r="I7" s="214"/>
      <c r="J7" s="214">
        <f t="shared" ref="J7:J17" si="0">I7+H7</f>
        <v>699.03</v>
      </c>
      <c r="K7" s="229">
        <v>71.58</v>
      </c>
      <c r="L7" s="215">
        <v>2.2000000000000002</v>
      </c>
      <c r="M7" s="215">
        <v>5.7</v>
      </c>
      <c r="N7" s="215">
        <v>0.45</v>
      </c>
      <c r="O7" s="215">
        <v>4</v>
      </c>
    </row>
    <row r="8" spans="1:15" s="216" customFormat="1">
      <c r="A8" s="212">
        <v>3</v>
      </c>
      <c r="B8" s="221" t="s">
        <v>307</v>
      </c>
      <c r="C8" s="227" t="s">
        <v>289</v>
      </c>
      <c r="D8" s="227" t="s">
        <v>308</v>
      </c>
      <c r="E8" s="219" t="s">
        <v>279</v>
      </c>
      <c r="F8" s="214">
        <v>112</v>
      </c>
      <c r="G8" s="214">
        <v>8.1</v>
      </c>
      <c r="H8" s="214">
        <f>F8*G8</f>
        <v>907.19999999999993</v>
      </c>
      <c r="I8" s="214"/>
      <c r="J8" s="214">
        <f>H8+I8</f>
        <v>907.19999999999993</v>
      </c>
      <c r="K8" s="229">
        <v>92.9</v>
      </c>
      <c r="L8" s="215">
        <v>2.2000000000000002</v>
      </c>
      <c r="M8" s="215">
        <v>5.7</v>
      </c>
      <c r="N8" s="215">
        <v>0.45</v>
      </c>
      <c r="O8" s="215">
        <v>4</v>
      </c>
    </row>
    <row r="9" spans="1:15" s="216" customFormat="1">
      <c r="A9" s="212">
        <v>4</v>
      </c>
      <c r="B9" s="221" t="s">
        <v>309</v>
      </c>
      <c r="C9" s="227" t="s">
        <v>306</v>
      </c>
      <c r="D9" s="227" t="s">
        <v>289</v>
      </c>
      <c r="E9" s="219" t="s">
        <v>279</v>
      </c>
      <c r="F9" s="214">
        <v>134.30000000000001</v>
      </c>
      <c r="G9" s="214">
        <v>10</v>
      </c>
      <c r="H9" s="214">
        <f t="shared" ref="H9:H15" si="1">G9*F9</f>
        <v>1343</v>
      </c>
      <c r="I9" s="214"/>
      <c r="J9" s="214">
        <f t="shared" si="0"/>
        <v>1343</v>
      </c>
      <c r="K9" s="229">
        <v>137.52000000000001</v>
      </c>
      <c r="L9" s="215">
        <v>2.2000000000000002</v>
      </c>
      <c r="M9" s="215">
        <v>5.5</v>
      </c>
      <c r="N9" s="215">
        <v>0.45</v>
      </c>
      <c r="O9" s="215">
        <v>3.8</v>
      </c>
    </row>
    <row r="10" spans="1:15" s="216" customFormat="1">
      <c r="A10" s="212">
        <v>5</v>
      </c>
      <c r="B10" s="218" t="s">
        <v>283</v>
      </c>
      <c r="C10" s="228" t="s">
        <v>284</v>
      </c>
      <c r="D10" s="228" t="s">
        <v>285</v>
      </c>
      <c r="E10" s="219" t="s">
        <v>279</v>
      </c>
      <c r="F10" s="220">
        <v>262.60000000000002</v>
      </c>
      <c r="G10" s="220">
        <v>9</v>
      </c>
      <c r="H10" s="214">
        <f t="shared" si="1"/>
        <v>2363.4</v>
      </c>
      <c r="I10" s="214"/>
      <c r="J10" s="214">
        <f t="shared" si="0"/>
        <v>2363.4</v>
      </c>
      <c r="K10" s="229">
        <v>242.01</v>
      </c>
      <c r="L10" s="215">
        <v>2.2000000000000002</v>
      </c>
      <c r="M10" s="215">
        <v>5.6</v>
      </c>
      <c r="N10" s="215">
        <v>0.45</v>
      </c>
      <c r="O10" s="215">
        <v>3.9</v>
      </c>
    </row>
    <row r="11" spans="1:15" s="216" customFormat="1">
      <c r="A11" s="212">
        <v>6</v>
      </c>
      <c r="B11" s="221" t="s">
        <v>283</v>
      </c>
      <c r="C11" s="227" t="s">
        <v>287</v>
      </c>
      <c r="D11" s="227" t="s">
        <v>288</v>
      </c>
      <c r="E11" s="213" t="s">
        <v>279</v>
      </c>
      <c r="F11" s="214">
        <v>426.8</v>
      </c>
      <c r="G11" s="220">
        <v>10</v>
      </c>
      <c r="H11" s="214">
        <f t="shared" si="1"/>
        <v>4268</v>
      </c>
      <c r="I11" s="214"/>
      <c r="J11" s="214">
        <f t="shared" si="0"/>
        <v>4268</v>
      </c>
      <c r="K11" s="229">
        <v>437.04</v>
      </c>
      <c r="L11" s="215">
        <v>2.2000000000000002</v>
      </c>
      <c r="M11" s="215">
        <v>4.9000000000000004</v>
      </c>
      <c r="N11" s="215">
        <v>0.45</v>
      </c>
      <c r="O11" s="234">
        <v>3.3</v>
      </c>
    </row>
    <row r="12" spans="1:15" s="216" customFormat="1" ht="15" customHeight="1">
      <c r="A12" s="212">
        <v>7</v>
      </c>
      <c r="B12" s="218" t="s">
        <v>276</v>
      </c>
      <c r="C12" s="228" t="s">
        <v>310</v>
      </c>
      <c r="D12" s="228" t="s">
        <v>274</v>
      </c>
      <c r="E12" s="219" t="s">
        <v>275</v>
      </c>
      <c r="F12" s="220">
        <v>151.5</v>
      </c>
      <c r="G12" s="220">
        <v>9.5</v>
      </c>
      <c r="H12" s="214">
        <f t="shared" si="1"/>
        <v>1439.25</v>
      </c>
      <c r="I12" s="214"/>
      <c r="J12" s="214">
        <f t="shared" si="0"/>
        <v>1439.25</v>
      </c>
      <c r="K12" s="215">
        <v>257.91000000000003</v>
      </c>
      <c r="L12" s="215">
        <v>2.2000000000000002</v>
      </c>
      <c r="M12" s="215">
        <v>4.9000000000000004</v>
      </c>
      <c r="N12" s="215">
        <v>0.45</v>
      </c>
      <c r="O12" s="215">
        <v>0.9</v>
      </c>
    </row>
    <row r="13" spans="1:15" s="216" customFormat="1" ht="15" customHeight="1">
      <c r="A13" s="212">
        <v>8</v>
      </c>
      <c r="B13" s="218" t="s">
        <v>311</v>
      </c>
      <c r="C13" s="228" t="s">
        <v>310</v>
      </c>
      <c r="D13" s="228" t="s">
        <v>274</v>
      </c>
      <c r="E13" s="219" t="s">
        <v>275</v>
      </c>
      <c r="F13" s="220">
        <v>137</v>
      </c>
      <c r="G13" s="220">
        <v>10.1</v>
      </c>
      <c r="H13" s="214">
        <f t="shared" si="1"/>
        <v>1383.7</v>
      </c>
      <c r="I13" s="214"/>
      <c r="J13" s="214">
        <f t="shared" si="0"/>
        <v>1383.7</v>
      </c>
      <c r="K13" s="231">
        <v>247.96</v>
      </c>
      <c r="L13" s="215">
        <v>2.2000000000000002</v>
      </c>
      <c r="M13" s="215">
        <v>4.8</v>
      </c>
      <c r="N13" s="215">
        <v>0.45</v>
      </c>
      <c r="O13" s="234">
        <v>0.8</v>
      </c>
    </row>
    <row r="14" spans="1:15" s="216" customFormat="1" ht="15" customHeight="1">
      <c r="A14" s="212">
        <v>9</v>
      </c>
      <c r="B14" s="218" t="s">
        <v>312</v>
      </c>
      <c r="C14" s="228" t="s">
        <v>310</v>
      </c>
      <c r="D14" s="228" t="s">
        <v>274</v>
      </c>
      <c r="E14" s="219" t="s">
        <v>275</v>
      </c>
      <c r="F14" s="220">
        <v>171.9</v>
      </c>
      <c r="G14" s="220">
        <v>10</v>
      </c>
      <c r="H14" s="214">
        <f t="shared" si="1"/>
        <v>1719</v>
      </c>
      <c r="I14" s="214"/>
      <c r="J14" s="214">
        <f t="shared" si="0"/>
        <v>1719</v>
      </c>
      <c r="K14" s="215">
        <v>308.04000000000002</v>
      </c>
      <c r="L14" s="215">
        <v>2.2000000000000002</v>
      </c>
      <c r="M14" s="215">
        <v>4.5</v>
      </c>
      <c r="N14" s="215">
        <v>0.45</v>
      </c>
      <c r="O14" s="215">
        <v>1</v>
      </c>
    </row>
    <row r="15" spans="1:15" s="216" customFormat="1" ht="15" customHeight="1">
      <c r="A15" s="212">
        <v>10</v>
      </c>
      <c r="B15" s="218" t="s">
        <v>312</v>
      </c>
      <c r="C15" s="228" t="s">
        <v>274</v>
      </c>
      <c r="D15" s="228" t="s">
        <v>313</v>
      </c>
      <c r="E15" s="219" t="s">
        <v>275</v>
      </c>
      <c r="F15" s="220">
        <v>127</v>
      </c>
      <c r="G15" s="220">
        <v>10</v>
      </c>
      <c r="H15" s="214">
        <f t="shared" si="1"/>
        <v>1270</v>
      </c>
      <c r="I15" s="220">
        <v>44.4</v>
      </c>
      <c r="J15" s="214">
        <f t="shared" si="0"/>
        <v>1314.4</v>
      </c>
      <c r="K15" s="231">
        <v>235.54</v>
      </c>
      <c r="L15" s="215">
        <v>2.2000000000000002</v>
      </c>
      <c r="M15" s="215">
        <v>4.7</v>
      </c>
      <c r="N15" s="215">
        <v>0.45</v>
      </c>
      <c r="O15" s="215">
        <v>1.1000000000000001</v>
      </c>
    </row>
    <row r="16" spans="1:15" s="216" customFormat="1" ht="15" customHeight="1">
      <c r="A16" s="212">
        <v>11</v>
      </c>
      <c r="B16" s="221" t="s">
        <v>314</v>
      </c>
      <c r="C16" s="227" t="s">
        <v>315</v>
      </c>
      <c r="D16" s="227" t="s">
        <v>316</v>
      </c>
      <c r="E16" s="219" t="s">
        <v>275</v>
      </c>
      <c r="F16" s="214">
        <v>81.400000000000006</v>
      </c>
      <c r="G16" s="214">
        <v>4.0999999999999996</v>
      </c>
      <c r="H16" s="214">
        <f>F16*G16</f>
        <v>333.74</v>
      </c>
      <c r="I16" s="214"/>
      <c r="J16" s="214">
        <f t="shared" si="0"/>
        <v>333.74</v>
      </c>
      <c r="K16" s="215">
        <v>59.81</v>
      </c>
      <c r="L16" s="215">
        <v>2.2000000000000002</v>
      </c>
      <c r="M16" s="215">
        <v>4.5999999999999996</v>
      </c>
      <c r="N16" s="215">
        <v>0.45</v>
      </c>
      <c r="O16" s="215">
        <v>1.1000000000000001</v>
      </c>
    </row>
    <row r="17" spans="1:16" s="216" customFormat="1" ht="15" customHeight="1">
      <c r="A17" s="212">
        <v>12</v>
      </c>
      <c r="B17" s="218" t="s">
        <v>317</v>
      </c>
      <c r="C17" s="228" t="s">
        <v>318</v>
      </c>
      <c r="D17" s="228" t="s">
        <v>319</v>
      </c>
      <c r="E17" s="219" t="s">
        <v>275</v>
      </c>
      <c r="F17" s="220">
        <v>353</v>
      </c>
      <c r="G17" s="220">
        <v>9.5</v>
      </c>
      <c r="H17" s="214">
        <f t="shared" ref="H17" si="2">F17*G17</f>
        <v>3353.5</v>
      </c>
      <c r="I17" s="214">
        <v>84</v>
      </c>
      <c r="J17" s="214">
        <f t="shared" si="0"/>
        <v>3437.5</v>
      </c>
      <c r="K17" s="231">
        <v>616</v>
      </c>
      <c r="L17" s="215">
        <v>2.2000000000000002</v>
      </c>
      <c r="M17" s="215">
        <v>4</v>
      </c>
      <c r="N17" s="215">
        <v>0.45</v>
      </c>
      <c r="O17" s="215">
        <v>0.85</v>
      </c>
    </row>
    <row r="18" spans="1:16" s="216" customFormat="1">
      <c r="A18" s="212">
        <v>13</v>
      </c>
      <c r="B18" s="218" t="s">
        <v>320</v>
      </c>
      <c r="C18" s="228" t="s">
        <v>321</v>
      </c>
      <c r="D18" s="228" t="s">
        <v>322</v>
      </c>
      <c r="E18" s="219" t="s">
        <v>275</v>
      </c>
      <c r="F18" s="220">
        <v>245</v>
      </c>
      <c r="G18" s="220">
        <v>9.9499999999999993</v>
      </c>
      <c r="H18" s="214">
        <f>(G18*F18)</f>
        <v>2437.75</v>
      </c>
      <c r="I18" s="214">
        <v>238.8</v>
      </c>
      <c r="J18" s="214">
        <f>H18+I18</f>
        <v>2676.55</v>
      </c>
      <c r="K18" s="231">
        <v>479.64</v>
      </c>
      <c r="L18" s="215">
        <v>2.2000000000000002</v>
      </c>
      <c r="M18" s="215">
        <v>3.7</v>
      </c>
      <c r="N18" s="215">
        <v>0.45</v>
      </c>
      <c r="O18" s="215">
        <v>1</v>
      </c>
    </row>
    <row r="19" spans="1:16" s="216" customFormat="1">
      <c r="A19" s="212">
        <v>14</v>
      </c>
      <c r="B19" s="217" t="s">
        <v>323</v>
      </c>
      <c r="C19" s="214" t="s">
        <v>324</v>
      </c>
      <c r="D19" s="214" t="s">
        <v>325</v>
      </c>
      <c r="E19" s="219" t="s">
        <v>279</v>
      </c>
      <c r="F19" s="214">
        <v>366.8</v>
      </c>
      <c r="G19" s="214">
        <v>9</v>
      </c>
      <c r="H19" s="214">
        <f>(G19*F19)</f>
        <v>3301.2000000000003</v>
      </c>
      <c r="I19" s="220"/>
      <c r="J19" s="214">
        <f t="shared" ref="J19:J24" si="3">I19+H19</f>
        <v>3301.2000000000003</v>
      </c>
      <c r="K19" s="231">
        <v>355.55</v>
      </c>
      <c r="L19" s="215">
        <v>2.2000000000000002</v>
      </c>
      <c r="M19" s="215">
        <v>4.5999999999999996</v>
      </c>
      <c r="N19" s="215">
        <v>0.45</v>
      </c>
      <c r="O19" s="215">
        <v>2.9</v>
      </c>
    </row>
    <row r="20" spans="1:16" s="215" customFormat="1">
      <c r="A20" s="212">
        <v>15</v>
      </c>
      <c r="B20" s="217" t="s">
        <v>326</v>
      </c>
      <c r="C20" s="230" t="s">
        <v>325</v>
      </c>
      <c r="D20" s="214" t="s">
        <v>327</v>
      </c>
      <c r="E20" s="219" t="s">
        <v>275</v>
      </c>
      <c r="F20" s="214">
        <v>70.7</v>
      </c>
      <c r="G20" s="214">
        <v>7.4</v>
      </c>
      <c r="H20" s="214">
        <f>F20*G20</f>
        <v>523.18000000000006</v>
      </c>
      <c r="I20" s="214"/>
      <c r="J20" s="214">
        <f t="shared" si="3"/>
        <v>523.18000000000006</v>
      </c>
      <c r="K20" s="231">
        <v>93.75</v>
      </c>
      <c r="L20" s="215">
        <v>2.2000000000000002</v>
      </c>
      <c r="M20" s="215">
        <v>4.4000000000000004</v>
      </c>
      <c r="N20" s="215">
        <v>0.45</v>
      </c>
      <c r="O20" s="215">
        <v>2.7</v>
      </c>
    </row>
    <row r="21" spans="1:16" s="216" customFormat="1">
      <c r="A21" s="212">
        <v>16</v>
      </c>
      <c r="B21" s="217" t="s">
        <v>326</v>
      </c>
      <c r="C21" s="230" t="s">
        <v>327</v>
      </c>
      <c r="D21" s="214" t="s">
        <v>328</v>
      </c>
      <c r="E21" s="219" t="s">
        <v>279</v>
      </c>
      <c r="F21" s="214">
        <v>134.5</v>
      </c>
      <c r="G21" s="214">
        <v>6</v>
      </c>
      <c r="H21" s="214">
        <f>G21*F21</f>
        <v>807</v>
      </c>
      <c r="I21" s="214"/>
      <c r="J21" s="214">
        <f t="shared" si="3"/>
        <v>807</v>
      </c>
      <c r="K21" s="231">
        <v>82.64</v>
      </c>
      <c r="L21" s="215">
        <v>2.2000000000000002</v>
      </c>
      <c r="M21" s="215">
        <v>4.5</v>
      </c>
      <c r="N21" s="215">
        <v>0.45</v>
      </c>
      <c r="O21" s="215">
        <v>2.8</v>
      </c>
    </row>
    <row r="22" spans="1:16" s="216" customFormat="1">
      <c r="A22" s="212">
        <v>17</v>
      </c>
      <c r="B22" s="217" t="s">
        <v>329</v>
      </c>
      <c r="C22" s="214" t="s">
        <v>330</v>
      </c>
      <c r="D22" s="214" t="s">
        <v>331</v>
      </c>
      <c r="E22" s="219" t="s">
        <v>275</v>
      </c>
      <c r="F22" s="214">
        <v>73.7</v>
      </c>
      <c r="G22" s="214">
        <v>7</v>
      </c>
      <c r="H22" s="214">
        <f>F22*G22</f>
        <v>515.9</v>
      </c>
      <c r="I22" s="214"/>
      <c r="J22" s="214">
        <f t="shared" si="3"/>
        <v>515.9</v>
      </c>
      <c r="K22" s="231">
        <v>92.45</v>
      </c>
      <c r="L22" s="215">
        <v>2.2000000000000002</v>
      </c>
      <c r="M22" s="215">
        <v>3.9</v>
      </c>
      <c r="N22" s="215">
        <v>0.45</v>
      </c>
      <c r="O22" s="215">
        <v>2</v>
      </c>
    </row>
    <row r="23" spans="1:16" s="216" customFormat="1" ht="30">
      <c r="A23" s="212">
        <v>18</v>
      </c>
      <c r="B23" s="217" t="s">
        <v>329</v>
      </c>
      <c r="C23" s="214" t="s">
        <v>331</v>
      </c>
      <c r="D23" s="214" t="s">
        <v>332</v>
      </c>
      <c r="E23" s="219" t="s">
        <v>275</v>
      </c>
      <c r="F23" s="214">
        <v>105.4</v>
      </c>
      <c r="G23" s="214">
        <v>6.5</v>
      </c>
      <c r="H23" s="214">
        <f>G23*F23</f>
        <v>685.1</v>
      </c>
      <c r="I23" s="214">
        <v>128.6</v>
      </c>
      <c r="J23" s="214">
        <f t="shared" si="3"/>
        <v>813.7</v>
      </c>
      <c r="K23" s="231">
        <v>145.82</v>
      </c>
      <c r="L23" s="215">
        <v>2.2000000000000002</v>
      </c>
      <c r="M23" s="215">
        <v>3.7</v>
      </c>
      <c r="N23" s="215">
        <v>0.45</v>
      </c>
      <c r="O23" s="215">
        <v>2</v>
      </c>
    </row>
    <row r="24" spans="1:16">
      <c r="A24" s="212">
        <v>19</v>
      </c>
      <c r="B24" s="217" t="s">
        <v>333</v>
      </c>
      <c r="C24" s="214" t="s">
        <v>334</v>
      </c>
      <c r="D24" s="214" t="s">
        <v>335</v>
      </c>
      <c r="E24" s="219" t="s">
        <v>279</v>
      </c>
      <c r="F24" s="214">
        <v>197.1</v>
      </c>
      <c r="G24" s="214">
        <v>9.3000000000000007</v>
      </c>
      <c r="H24" s="220">
        <f>G24*F24</f>
        <v>1833.0300000000002</v>
      </c>
      <c r="I24" s="214"/>
      <c r="J24" s="220">
        <f t="shared" si="3"/>
        <v>1833.0300000000002</v>
      </c>
      <c r="K24" s="231">
        <v>187.7</v>
      </c>
      <c r="L24" s="215">
        <v>2.2000000000000002</v>
      </c>
      <c r="M24" s="215">
        <v>5</v>
      </c>
      <c r="N24" s="215">
        <v>0.45</v>
      </c>
      <c r="O24" s="215">
        <v>1</v>
      </c>
      <c r="P24" s="216"/>
    </row>
    <row r="25" spans="1:16" ht="30">
      <c r="A25" s="212">
        <v>20</v>
      </c>
      <c r="B25" s="217" t="s">
        <v>336</v>
      </c>
      <c r="C25" s="214" t="s">
        <v>337</v>
      </c>
      <c r="D25" s="214" t="s">
        <v>338</v>
      </c>
      <c r="E25" s="219" t="s">
        <v>279</v>
      </c>
      <c r="F25" s="214">
        <v>61.7</v>
      </c>
      <c r="G25" s="214">
        <v>7</v>
      </c>
      <c r="H25" s="214">
        <f t="shared" ref="H25:H30" si="4">G25*F25</f>
        <v>431.90000000000003</v>
      </c>
      <c r="I25" s="214"/>
      <c r="J25" s="214">
        <f>H25+I25</f>
        <v>431.90000000000003</v>
      </c>
      <c r="K25" s="231">
        <v>44.23</v>
      </c>
      <c r="L25" s="215">
        <v>2.2000000000000002</v>
      </c>
      <c r="M25" s="215">
        <v>5.5</v>
      </c>
      <c r="N25" s="215">
        <v>0.45</v>
      </c>
      <c r="O25" s="215">
        <v>2.9</v>
      </c>
    </row>
    <row r="26" spans="1:16">
      <c r="A26" s="212">
        <v>21</v>
      </c>
      <c r="B26" s="217" t="s">
        <v>337</v>
      </c>
      <c r="C26" s="214" t="s">
        <v>339</v>
      </c>
      <c r="D26" s="214"/>
      <c r="E26" s="219" t="s">
        <v>279</v>
      </c>
      <c r="F26" s="214">
        <v>234.6</v>
      </c>
      <c r="G26" s="214">
        <v>7</v>
      </c>
      <c r="H26" s="214">
        <f t="shared" si="4"/>
        <v>1642.2</v>
      </c>
      <c r="I26" s="214"/>
      <c r="J26" s="214">
        <f>I26+H26</f>
        <v>1642.2</v>
      </c>
      <c r="K26" s="231">
        <v>168.16</v>
      </c>
      <c r="L26" s="215">
        <v>2.2000000000000002</v>
      </c>
      <c r="M26" s="215">
        <v>5.6</v>
      </c>
      <c r="N26" s="215">
        <v>0.45</v>
      </c>
      <c r="O26" s="215">
        <v>3</v>
      </c>
    </row>
    <row r="27" spans="1:16">
      <c r="A27" s="212">
        <v>22</v>
      </c>
      <c r="B27" s="217" t="s">
        <v>340</v>
      </c>
      <c r="C27" s="214" t="s">
        <v>341</v>
      </c>
      <c r="D27" s="214" t="s">
        <v>342</v>
      </c>
      <c r="E27" s="219" t="s">
        <v>279</v>
      </c>
      <c r="F27" s="214">
        <v>67.459999999999994</v>
      </c>
      <c r="G27" s="214">
        <v>10</v>
      </c>
      <c r="H27" s="214">
        <f>(G27*F27)</f>
        <v>674.59999999999991</v>
      </c>
      <c r="I27" s="214"/>
      <c r="J27" s="214">
        <f>I27+H27</f>
        <v>674.59999999999991</v>
      </c>
      <c r="K27" s="231">
        <v>69.08</v>
      </c>
      <c r="L27" s="215">
        <v>2.2000000000000002</v>
      </c>
      <c r="M27" s="215">
        <v>4.9000000000000004</v>
      </c>
      <c r="N27" s="215">
        <v>0.45</v>
      </c>
      <c r="O27" s="215">
        <v>1.7999999999999999E-2</v>
      </c>
    </row>
    <row r="28" spans="1:16" ht="30">
      <c r="A28" s="212">
        <v>23</v>
      </c>
      <c r="B28" s="217" t="s">
        <v>340</v>
      </c>
      <c r="C28" s="214" t="s">
        <v>343</v>
      </c>
      <c r="D28" s="214" t="s">
        <v>285</v>
      </c>
      <c r="E28" s="219" t="s">
        <v>279</v>
      </c>
      <c r="F28" s="214">
        <v>197.34</v>
      </c>
      <c r="G28" s="214">
        <v>7</v>
      </c>
      <c r="H28" s="214">
        <f t="shared" ref="H28:H31" si="5">F28*G28</f>
        <v>1381.38</v>
      </c>
      <c r="I28" s="214"/>
      <c r="J28" s="214">
        <f>I29+H28</f>
        <v>1381.38</v>
      </c>
      <c r="K28" s="231">
        <v>141.44999999999999</v>
      </c>
      <c r="L28" s="215">
        <v>2.2000000000000002</v>
      </c>
      <c r="M28" s="215">
        <v>5.0999999999999996</v>
      </c>
      <c r="N28" s="215">
        <v>0.45</v>
      </c>
      <c r="O28" s="215">
        <v>0.18</v>
      </c>
    </row>
    <row r="29" spans="1:16">
      <c r="A29" s="212">
        <v>24</v>
      </c>
      <c r="B29" s="217" t="s">
        <v>344</v>
      </c>
      <c r="C29" s="214" t="s">
        <v>277</v>
      </c>
      <c r="D29" s="214" t="s">
        <v>278</v>
      </c>
      <c r="E29" s="219" t="s">
        <v>279</v>
      </c>
      <c r="F29" s="214">
        <v>89.4</v>
      </c>
      <c r="G29" s="214">
        <v>9.6</v>
      </c>
      <c r="H29" s="214">
        <f t="shared" si="5"/>
        <v>858.24</v>
      </c>
      <c r="I29" s="214"/>
      <c r="J29" s="214">
        <f>I30+H29</f>
        <v>858.24</v>
      </c>
      <c r="K29" s="231">
        <v>87.88</v>
      </c>
      <c r="L29" s="215">
        <v>2.2000000000000002</v>
      </c>
      <c r="M29" s="215">
        <v>4.2</v>
      </c>
      <c r="N29" s="215">
        <v>0.45</v>
      </c>
      <c r="O29" s="215">
        <v>1.6</v>
      </c>
    </row>
    <row r="30" spans="1:16">
      <c r="A30" s="212">
        <v>25</v>
      </c>
      <c r="B30" s="217" t="s">
        <v>345</v>
      </c>
      <c r="C30" s="214" t="s">
        <v>346</v>
      </c>
      <c r="D30" s="214"/>
      <c r="E30" s="219" t="s">
        <v>275</v>
      </c>
      <c r="F30" s="214">
        <v>21.6</v>
      </c>
      <c r="G30" s="214">
        <v>9.1</v>
      </c>
      <c r="H30" s="214">
        <f t="shared" si="4"/>
        <v>196.56</v>
      </c>
      <c r="I30" s="214"/>
      <c r="J30" s="214">
        <f>I30+H30</f>
        <v>196.56</v>
      </c>
      <c r="K30" s="231">
        <v>35.22</v>
      </c>
      <c r="L30" s="215">
        <v>2.2000000000000002</v>
      </c>
      <c r="M30" s="215">
        <v>4.0999999999999996</v>
      </c>
      <c r="N30" s="215">
        <v>0.45</v>
      </c>
      <c r="O30" s="215">
        <v>1.7</v>
      </c>
    </row>
    <row r="31" spans="1:16">
      <c r="A31" s="212">
        <v>26</v>
      </c>
      <c r="B31" s="217" t="s">
        <v>344</v>
      </c>
      <c r="C31" s="214" t="s">
        <v>278</v>
      </c>
      <c r="D31" s="227" t="s">
        <v>280</v>
      </c>
      <c r="E31" s="219" t="s">
        <v>279</v>
      </c>
      <c r="F31" s="214">
        <v>97</v>
      </c>
      <c r="G31" s="214">
        <v>9.6999999999999993</v>
      </c>
      <c r="H31" s="214">
        <f t="shared" si="5"/>
        <v>940.9</v>
      </c>
      <c r="I31" s="214"/>
      <c r="J31" s="214">
        <f>I31+H31</f>
        <v>940.9</v>
      </c>
      <c r="K31" s="231">
        <v>96.35</v>
      </c>
      <c r="L31" s="215">
        <v>2.2000000000000002</v>
      </c>
      <c r="M31" s="215">
        <v>4.2</v>
      </c>
      <c r="N31" s="215">
        <v>0.45</v>
      </c>
      <c r="O31" s="215">
        <v>1.7</v>
      </c>
    </row>
    <row r="32" spans="1:16">
      <c r="A32" s="212">
        <v>27</v>
      </c>
      <c r="B32" s="217" t="s">
        <v>344</v>
      </c>
      <c r="C32" s="214" t="s">
        <v>347</v>
      </c>
      <c r="D32" s="227" t="s">
        <v>281</v>
      </c>
      <c r="E32" s="219" t="s">
        <v>279</v>
      </c>
      <c r="F32" s="214">
        <v>99.1</v>
      </c>
      <c r="G32" s="214">
        <v>9.8000000000000007</v>
      </c>
      <c r="H32" s="214">
        <f>G32*F32</f>
        <v>971.18000000000006</v>
      </c>
      <c r="I32" s="214"/>
      <c r="J32" s="214">
        <f>I32+H32</f>
        <v>971.18000000000006</v>
      </c>
      <c r="K32" s="231">
        <v>99.45</v>
      </c>
      <c r="L32" s="215">
        <v>2.2000000000000002</v>
      </c>
      <c r="M32" s="215">
        <v>4.3</v>
      </c>
      <c r="N32" s="215">
        <v>0.45</v>
      </c>
      <c r="O32" s="215">
        <v>1.9</v>
      </c>
    </row>
    <row r="33" spans="1:15">
      <c r="A33" s="212">
        <v>28</v>
      </c>
      <c r="B33" s="217" t="s">
        <v>282</v>
      </c>
      <c r="C33" s="214" t="s">
        <v>277</v>
      </c>
      <c r="D33" s="227" t="s">
        <v>278</v>
      </c>
      <c r="E33" s="219" t="s">
        <v>279</v>
      </c>
      <c r="F33" s="214">
        <v>94.8</v>
      </c>
      <c r="G33" s="214">
        <v>9.5</v>
      </c>
      <c r="H33" s="214">
        <f t="shared" ref="H33:H74" si="6">G33*F33</f>
        <v>900.6</v>
      </c>
      <c r="I33" s="214"/>
      <c r="J33" s="214">
        <f t="shared" ref="J33:J74" si="7">I33+H33</f>
        <v>900.6</v>
      </c>
      <c r="K33" s="231">
        <v>92.22</v>
      </c>
      <c r="L33" s="215">
        <v>2.2000000000000002</v>
      </c>
      <c r="M33" s="215">
        <v>4.0999999999999996</v>
      </c>
      <c r="N33" s="215">
        <v>0.45</v>
      </c>
      <c r="O33" s="215">
        <v>1.7</v>
      </c>
    </row>
    <row r="34" spans="1:15" ht="30">
      <c r="A34" s="212">
        <v>29</v>
      </c>
      <c r="B34" s="217" t="s">
        <v>345</v>
      </c>
      <c r="C34" s="214" t="s">
        <v>348</v>
      </c>
      <c r="D34" s="227"/>
      <c r="E34" s="219" t="s">
        <v>275</v>
      </c>
      <c r="F34" s="214">
        <v>21.5</v>
      </c>
      <c r="G34" s="214">
        <v>9.1</v>
      </c>
      <c r="H34" s="214">
        <f t="shared" si="6"/>
        <v>195.65</v>
      </c>
      <c r="I34" s="214"/>
      <c r="J34" s="214">
        <f t="shared" si="7"/>
        <v>195.65</v>
      </c>
      <c r="K34" s="231">
        <v>35.06</v>
      </c>
      <c r="L34" s="215">
        <v>2.2000000000000002</v>
      </c>
      <c r="M34" s="215">
        <v>4</v>
      </c>
      <c r="N34" s="215">
        <v>0.45</v>
      </c>
      <c r="O34" s="215">
        <v>1.8</v>
      </c>
    </row>
    <row r="35" spans="1:15">
      <c r="A35" s="212">
        <v>30</v>
      </c>
      <c r="B35" s="217" t="s">
        <v>282</v>
      </c>
      <c r="C35" s="214" t="s">
        <v>278</v>
      </c>
      <c r="D35" s="227" t="s">
        <v>280</v>
      </c>
      <c r="E35" s="219" t="s">
        <v>279</v>
      </c>
      <c r="F35" s="214">
        <v>97</v>
      </c>
      <c r="G35" s="214">
        <v>9.9</v>
      </c>
      <c r="H35" s="214">
        <f t="shared" si="6"/>
        <v>960.30000000000007</v>
      </c>
      <c r="I35" s="214"/>
      <c r="J35" s="214">
        <f t="shared" si="7"/>
        <v>960.30000000000007</v>
      </c>
      <c r="K35" s="231">
        <v>98.33</v>
      </c>
      <c r="L35" s="215">
        <v>2.2000000000000002</v>
      </c>
      <c r="M35" s="215">
        <v>4.0999999999999996</v>
      </c>
      <c r="N35" s="215">
        <v>0.45</v>
      </c>
      <c r="O35" s="215">
        <v>1.9</v>
      </c>
    </row>
    <row r="36" spans="1:15">
      <c r="A36" s="212">
        <v>31</v>
      </c>
      <c r="B36" s="217" t="s">
        <v>349</v>
      </c>
      <c r="C36" s="214" t="s">
        <v>341</v>
      </c>
      <c r="D36" s="227" t="s">
        <v>342</v>
      </c>
      <c r="E36" s="219" t="s">
        <v>279</v>
      </c>
      <c r="F36" s="214">
        <v>156.4</v>
      </c>
      <c r="G36" s="214">
        <v>10</v>
      </c>
      <c r="H36" s="214">
        <f t="shared" si="6"/>
        <v>1564</v>
      </c>
      <c r="I36" s="214"/>
      <c r="J36" s="214">
        <f t="shared" si="7"/>
        <v>1564</v>
      </c>
      <c r="K36" s="231">
        <v>160.15</v>
      </c>
      <c r="L36" s="215">
        <v>2.2000000000000002</v>
      </c>
      <c r="M36" s="215">
        <v>5.0999999999999996</v>
      </c>
      <c r="N36" s="215">
        <v>0.45</v>
      </c>
      <c r="O36" s="215">
        <v>0.85</v>
      </c>
    </row>
    <row r="37" spans="1:15">
      <c r="A37" s="212">
        <v>32</v>
      </c>
      <c r="B37" s="217" t="s">
        <v>349</v>
      </c>
      <c r="C37" s="214" t="s">
        <v>343</v>
      </c>
      <c r="D37" s="227" t="s">
        <v>334</v>
      </c>
      <c r="E37" s="219" t="s">
        <v>279</v>
      </c>
      <c r="F37" s="214">
        <v>90.7</v>
      </c>
      <c r="G37" s="214">
        <v>10</v>
      </c>
      <c r="H37" s="214">
        <f t="shared" si="6"/>
        <v>907</v>
      </c>
      <c r="I37" s="214"/>
      <c r="J37" s="214">
        <f t="shared" si="7"/>
        <v>907</v>
      </c>
      <c r="K37" s="231">
        <v>92.88</v>
      </c>
      <c r="L37" s="215">
        <v>2.2000000000000002</v>
      </c>
      <c r="M37" s="215">
        <v>5.2</v>
      </c>
      <c r="N37" s="215">
        <v>0.45</v>
      </c>
      <c r="O37" s="215">
        <v>0.95</v>
      </c>
    </row>
    <row r="38" spans="1:15">
      <c r="A38" s="212">
        <v>33</v>
      </c>
      <c r="B38" s="217" t="s">
        <v>330</v>
      </c>
      <c r="C38" s="214" t="s">
        <v>350</v>
      </c>
      <c r="D38" s="227" t="s">
        <v>351</v>
      </c>
      <c r="E38" s="219" t="s">
        <v>279</v>
      </c>
      <c r="F38" s="214">
        <v>97.4</v>
      </c>
      <c r="G38" s="214">
        <v>6.4</v>
      </c>
      <c r="H38" s="214">
        <f t="shared" si="6"/>
        <v>623.36000000000013</v>
      </c>
      <c r="I38" s="214"/>
      <c r="J38" s="214">
        <f t="shared" si="7"/>
        <v>623.36000000000013</v>
      </c>
      <c r="K38" s="231">
        <v>63.83</v>
      </c>
      <c r="L38" s="215">
        <v>2.2000000000000002</v>
      </c>
      <c r="M38" s="215">
        <v>3.8</v>
      </c>
      <c r="N38" s="215">
        <v>0.45</v>
      </c>
      <c r="O38" s="215">
        <v>1.3</v>
      </c>
    </row>
    <row r="39" spans="1:15">
      <c r="A39" s="212">
        <v>34</v>
      </c>
      <c r="B39" s="217" t="s">
        <v>352</v>
      </c>
      <c r="C39" s="214" t="s">
        <v>353</v>
      </c>
      <c r="D39" s="227" t="s">
        <v>335</v>
      </c>
      <c r="E39" s="219" t="s">
        <v>275</v>
      </c>
      <c r="F39" s="214">
        <v>98.4</v>
      </c>
      <c r="G39" s="214">
        <v>12.2</v>
      </c>
      <c r="H39" s="214">
        <f t="shared" si="6"/>
        <v>1200.48</v>
      </c>
      <c r="I39" s="214"/>
      <c r="J39" s="214">
        <f t="shared" si="7"/>
        <v>1200.48</v>
      </c>
      <c r="K39" s="231">
        <v>215.13</v>
      </c>
      <c r="L39" s="215">
        <v>2.2000000000000002</v>
      </c>
      <c r="M39" s="215">
        <v>4.5999999999999996</v>
      </c>
      <c r="N39" s="215">
        <v>0.45</v>
      </c>
      <c r="O39" s="215">
        <v>1.3</v>
      </c>
    </row>
    <row r="40" spans="1:15">
      <c r="A40" s="212">
        <v>35</v>
      </c>
      <c r="B40" s="217" t="s">
        <v>352</v>
      </c>
      <c r="C40" s="214" t="s">
        <v>343</v>
      </c>
      <c r="D40" s="227" t="s">
        <v>328</v>
      </c>
      <c r="E40" s="219" t="s">
        <v>279</v>
      </c>
      <c r="F40" s="214">
        <v>169</v>
      </c>
      <c r="G40" s="214">
        <v>10.5</v>
      </c>
      <c r="H40" s="214">
        <f t="shared" si="6"/>
        <v>1774.5</v>
      </c>
      <c r="I40" s="214"/>
      <c r="J40" s="214">
        <f t="shared" si="7"/>
        <v>1774.5</v>
      </c>
      <c r="K40" s="231">
        <v>181.71</v>
      </c>
      <c r="L40" s="215">
        <v>2.2000000000000002</v>
      </c>
      <c r="M40" s="215">
        <v>4.9000000000000004</v>
      </c>
      <c r="N40" s="215">
        <v>0.45</v>
      </c>
      <c r="O40" s="215">
        <v>1.4</v>
      </c>
    </row>
    <row r="41" spans="1:15">
      <c r="A41" s="212">
        <v>36</v>
      </c>
      <c r="B41" s="217" t="s">
        <v>334</v>
      </c>
      <c r="C41" s="214" t="s">
        <v>278</v>
      </c>
      <c r="D41" s="227" t="s">
        <v>277</v>
      </c>
      <c r="E41" s="219" t="s">
        <v>279</v>
      </c>
      <c r="F41" s="214">
        <v>99.5</v>
      </c>
      <c r="G41" s="214">
        <v>10.5</v>
      </c>
      <c r="H41" s="214">
        <f t="shared" si="6"/>
        <v>1044.75</v>
      </c>
      <c r="I41" s="214"/>
      <c r="J41" s="214">
        <f t="shared" si="7"/>
        <v>1044.75</v>
      </c>
      <c r="K41" s="231">
        <v>106.98</v>
      </c>
      <c r="L41" s="215">
        <v>2.2000000000000002</v>
      </c>
      <c r="M41" s="215">
        <v>4.7</v>
      </c>
      <c r="N41" s="215">
        <v>0.45</v>
      </c>
      <c r="O41" s="215">
        <v>2</v>
      </c>
    </row>
    <row r="42" spans="1:15">
      <c r="A42" s="212">
        <v>37</v>
      </c>
      <c r="B42" s="217" t="s">
        <v>334</v>
      </c>
      <c r="C42" s="214" t="s">
        <v>277</v>
      </c>
      <c r="D42" s="227" t="s">
        <v>354</v>
      </c>
      <c r="E42" s="219" t="s">
        <v>279</v>
      </c>
      <c r="F42" s="214">
        <v>91.4</v>
      </c>
      <c r="G42" s="214">
        <v>10.5</v>
      </c>
      <c r="H42" s="214">
        <f t="shared" si="6"/>
        <v>959.7</v>
      </c>
      <c r="I42" s="214"/>
      <c r="J42" s="214">
        <f t="shared" si="7"/>
        <v>959.7</v>
      </c>
      <c r="K42" s="231">
        <v>98.27</v>
      </c>
      <c r="L42" s="215">
        <v>2.2000000000000002</v>
      </c>
      <c r="M42" s="215">
        <v>4.8</v>
      </c>
      <c r="N42" s="215">
        <v>0.45</v>
      </c>
      <c r="O42" s="215">
        <v>1.8</v>
      </c>
    </row>
    <row r="43" spans="1:15">
      <c r="A43" s="212">
        <v>38</v>
      </c>
      <c r="B43" s="217" t="s">
        <v>334</v>
      </c>
      <c r="C43" s="214" t="s">
        <v>354</v>
      </c>
      <c r="D43" s="227" t="s">
        <v>355</v>
      </c>
      <c r="E43" s="219" t="s">
        <v>279</v>
      </c>
      <c r="F43" s="214">
        <v>98.6</v>
      </c>
      <c r="G43" s="214">
        <v>10.5</v>
      </c>
      <c r="H43" s="214">
        <f t="shared" si="6"/>
        <v>1035.3</v>
      </c>
      <c r="I43" s="214"/>
      <c r="J43" s="214">
        <f t="shared" si="7"/>
        <v>1035.3</v>
      </c>
      <c r="K43" s="231">
        <v>106.01</v>
      </c>
      <c r="L43" s="215">
        <v>2.2000000000000002</v>
      </c>
      <c r="M43" s="215">
        <v>4.8</v>
      </c>
      <c r="N43" s="215">
        <v>0.45</v>
      </c>
      <c r="O43" s="215">
        <v>1.8</v>
      </c>
    </row>
    <row r="44" spans="1:15">
      <c r="A44" s="212">
        <v>39</v>
      </c>
      <c r="B44" s="217" t="s">
        <v>334</v>
      </c>
      <c r="C44" s="214" t="s">
        <v>356</v>
      </c>
      <c r="D44" s="227" t="s">
        <v>352</v>
      </c>
      <c r="E44" s="219" t="s">
        <v>279</v>
      </c>
      <c r="F44" s="214">
        <v>98</v>
      </c>
      <c r="G44" s="214">
        <v>10.5</v>
      </c>
      <c r="H44" s="214">
        <f t="shared" si="6"/>
        <v>1029</v>
      </c>
      <c r="I44" s="214"/>
      <c r="J44" s="214">
        <f t="shared" si="7"/>
        <v>1029</v>
      </c>
      <c r="K44" s="231">
        <v>105.37</v>
      </c>
      <c r="L44" s="215">
        <v>2.2000000000000002</v>
      </c>
      <c r="M44" s="215">
        <v>4.9000000000000004</v>
      </c>
      <c r="N44" s="215">
        <v>0.45</v>
      </c>
      <c r="O44" s="215">
        <v>1.5</v>
      </c>
    </row>
    <row r="45" spans="1:15">
      <c r="A45" s="212">
        <v>40</v>
      </c>
      <c r="B45" s="217" t="s">
        <v>334</v>
      </c>
      <c r="C45" s="214" t="s">
        <v>357</v>
      </c>
      <c r="D45" s="227" t="s">
        <v>333</v>
      </c>
      <c r="E45" s="219" t="s">
        <v>279</v>
      </c>
      <c r="F45" s="214">
        <v>303.63</v>
      </c>
      <c r="G45" s="214">
        <v>10.5</v>
      </c>
      <c r="H45" s="214">
        <f t="shared" si="6"/>
        <v>3188.1149999999998</v>
      </c>
      <c r="I45" s="214">
        <v>120</v>
      </c>
      <c r="J45" s="214">
        <f t="shared" si="7"/>
        <v>3308.1149999999998</v>
      </c>
      <c r="K45" s="231">
        <v>338.75</v>
      </c>
      <c r="L45" s="215">
        <v>2.2000000000000002</v>
      </c>
      <c r="M45" s="215">
        <v>4.9000000000000004</v>
      </c>
      <c r="N45" s="215">
        <v>0.45</v>
      </c>
      <c r="O45" s="215">
        <v>1.2</v>
      </c>
    </row>
    <row r="46" spans="1:15">
      <c r="A46" s="212">
        <v>41</v>
      </c>
      <c r="B46" s="217" t="s">
        <v>334</v>
      </c>
      <c r="C46" s="214" t="s">
        <v>358</v>
      </c>
      <c r="D46" s="227" t="s">
        <v>349</v>
      </c>
      <c r="E46" s="219" t="s">
        <v>279</v>
      </c>
      <c r="F46" s="214">
        <v>96</v>
      </c>
      <c r="G46" s="214">
        <v>10.5</v>
      </c>
      <c r="H46" s="214">
        <f t="shared" si="6"/>
        <v>1008</v>
      </c>
      <c r="I46" s="214"/>
      <c r="J46" s="214">
        <f t="shared" si="7"/>
        <v>1008</v>
      </c>
      <c r="K46" s="231">
        <v>103.22</v>
      </c>
      <c r="L46" s="215">
        <v>2.2000000000000002</v>
      </c>
      <c r="M46" s="215">
        <v>5.2</v>
      </c>
      <c r="N46" s="215">
        <v>0.45</v>
      </c>
      <c r="O46" s="215">
        <v>1.4</v>
      </c>
    </row>
    <row r="47" spans="1:15">
      <c r="A47" s="212">
        <v>42</v>
      </c>
      <c r="B47" s="217" t="s">
        <v>359</v>
      </c>
      <c r="C47" s="214" t="s">
        <v>360</v>
      </c>
      <c r="D47" s="227" t="s">
        <v>280</v>
      </c>
      <c r="E47" s="219" t="s">
        <v>279</v>
      </c>
      <c r="F47" s="214">
        <v>309</v>
      </c>
      <c r="G47" s="214">
        <v>10.5</v>
      </c>
      <c r="H47" s="214">
        <f t="shared" si="6"/>
        <v>3244.5</v>
      </c>
      <c r="I47" s="214">
        <v>37.799999999999997</v>
      </c>
      <c r="J47" s="214">
        <f t="shared" si="7"/>
        <v>3282.3</v>
      </c>
      <c r="K47" s="231">
        <v>336.11</v>
      </c>
      <c r="L47" s="215">
        <v>2.2000000000000002</v>
      </c>
      <c r="M47" s="215">
        <v>5</v>
      </c>
      <c r="N47" s="215">
        <v>0.45</v>
      </c>
      <c r="O47" s="215">
        <v>2.1</v>
      </c>
    </row>
    <row r="48" spans="1:15">
      <c r="A48" s="212">
        <v>43</v>
      </c>
      <c r="B48" s="217" t="s">
        <v>359</v>
      </c>
      <c r="C48" s="214" t="s">
        <v>347</v>
      </c>
      <c r="D48" s="227" t="s">
        <v>278</v>
      </c>
      <c r="E48" s="219" t="s">
        <v>279</v>
      </c>
      <c r="F48" s="214">
        <v>92.7</v>
      </c>
      <c r="G48" s="214">
        <v>10.5</v>
      </c>
      <c r="H48" s="214">
        <f t="shared" si="6"/>
        <v>973.35</v>
      </c>
      <c r="I48" s="214"/>
      <c r="J48" s="214">
        <f t="shared" si="7"/>
        <v>973.35</v>
      </c>
      <c r="K48" s="231">
        <v>99.67</v>
      </c>
      <c r="L48" s="215">
        <v>2.2000000000000002</v>
      </c>
      <c r="M48" s="215">
        <v>4.5999999999999996</v>
      </c>
      <c r="N48" s="215">
        <v>0.45</v>
      </c>
      <c r="O48" s="215">
        <v>1.9</v>
      </c>
    </row>
    <row r="49" spans="1:15">
      <c r="A49" s="212">
        <v>44</v>
      </c>
      <c r="B49" s="217" t="s">
        <v>359</v>
      </c>
      <c r="C49" s="214" t="s">
        <v>358</v>
      </c>
      <c r="D49" s="227" t="s">
        <v>361</v>
      </c>
      <c r="E49" s="219" t="s">
        <v>279</v>
      </c>
      <c r="F49" s="214">
        <v>307.89999999999998</v>
      </c>
      <c r="G49" s="214">
        <v>10.5</v>
      </c>
      <c r="H49" s="214">
        <f t="shared" si="6"/>
        <v>3232.95</v>
      </c>
      <c r="I49" s="214"/>
      <c r="J49" s="214">
        <f t="shared" si="7"/>
        <v>3232.95</v>
      </c>
      <c r="K49" s="231">
        <v>331.05</v>
      </c>
      <c r="L49" s="215">
        <v>2.2000000000000002</v>
      </c>
      <c r="M49" s="215">
        <v>5.2</v>
      </c>
      <c r="N49" s="215">
        <v>0.45</v>
      </c>
      <c r="O49" s="215">
        <v>0.8</v>
      </c>
    </row>
    <row r="50" spans="1:15">
      <c r="A50" s="212">
        <v>45</v>
      </c>
      <c r="B50" s="217" t="s">
        <v>359</v>
      </c>
      <c r="C50" s="214" t="s">
        <v>340</v>
      </c>
      <c r="D50" s="227" t="s">
        <v>362</v>
      </c>
      <c r="E50" s="219" t="s">
        <v>279</v>
      </c>
      <c r="F50" s="214">
        <v>147.69999999999999</v>
      </c>
      <c r="G50" s="214">
        <v>9</v>
      </c>
      <c r="H50" s="214">
        <f t="shared" si="6"/>
        <v>1329.3</v>
      </c>
      <c r="I50" s="214">
        <v>62.4</v>
      </c>
      <c r="J50" s="214">
        <f t="shared" si="7"/>
        <v>1391.7</v>
      </c>
      <c r="K50" s="231">
        <v>142.51</v>
      </c>
      <c r="L50" s="215">
        <v>2.2000000000000002</v>
      </c>
      <c r="M50" s="215">
        <v>5.7</v>
      </c>
      <c r="N50" s="215">
        <v>0.45</v>
      </c>
      <c r="O50" s="215">
        <v>0.17</v>
      </c>
    </row>
    <row r="51" spans="1:15">
      <c r="A51" s="212">
        <v>46</v>
      </c>
      <c r="B51" s="217" t="s">
        <v>363</v>
      </c>
      <c r="C51" s="214" t="s">
        <v>364</v>
      </c>
      <c r="D51" s="214" t="s">
        <v>365</v>
      </c>
      <c r="E51" s="219" t="s">
        <v>279</v>
      </c>
      <c r="F51" s="214">
        <v>289.7</v>
      </c>
      <c r="G51" s="214">
        <v>8.6999999999999993</v>
      </c>
      <c r="H51" s="214">
        <f t="shared" si="6"/>
        <v>2520.39</v>
      </c>
      <c r="I51" s="231">
        <v>135</v>
      </c>
      <c r="J51" s="214">
        <f t="shared" si="7"/>
        <v>2655.39</v>
      </c>
      <c r="K51" s="231">
        <v>271.91000000000003</v>
      </c>
      <c r="L51" s="215">
        <v>2.2000000000000002</v>
      </c>
      <c r="M51" s="215">
        <v>1.6</v>
      </c>
      <c r="N51" s="215">
        <v>0.45</v>
      </c>
      <c r="O51" s="215">
        <v>3.9</v>
      </c>
    </row>
    <row r="52" spans="1:15">
      <c r="A52" s="212">
        <v>47</v>
      </c>
      <c r="B52" s="217" t="s">
        <v>363</v>
      </c>
      <c r="C52" s="214" t="s">
        <v>365</v>
      </c>
      <c r="D52" s="214" t="s">
        <v>366</v>
      </c>
      <c r="E52" s="219" t="s">
        <v>279</v>
      </c>
      <c r="F52" s="214">
        <v>99.5</v>
      </c>
      <c r="G52" s="214">
        <v>7.5</v>
      </c>
      <c r="H52" s="214">
        <f t="shared" si="6"/>
        <v>746.25</v>
      </c>
      <c r="I52" s="231"/>
      <c r="J52" s="214">
        <f t="shared" si="7"/>
        <v>746.25</v>
      </c>
      <c r="K52" s="231">
        <v>76.42</v>
      </c>
      <c r="L52" s="215">
        <v>2.2000000000000002</v>
      </c>
      <c r="M52" s="215">
        <v>1.5</v>
      </c>
      <c r="N52" s="215">
        <v>0.45</v>
      </c>
      <c r="O52" s="215">
        <v>3.7</v>
      </c>
    </row>
    <row r="53" spans="1:15">
      <c r="A53" s="212">
        <v>48</v>
      </c>
      <c r="B53" s="217" t="s">
        <v>367</v>
      </c>
      <c r="C53" s="214" t="s">
        <v>368</v>
      </c>
      <c r="D53" s="214"/>
      <c r="E53" s="219" t="s">
        <v>279</v>
      </c>
      <c r="F53" s="214">
        <v>83.9</v>
      </c>
      <c r="G53" s="214">
        <v>10.4</v>
      </c>
      <c r="H53" s="214">
        <f t="shared" si="6"/>
        <v>872.56000000000006</v>
      </c>
      <c r="I53" s="231"/>
      <c r="J53" s="214">
        <f t="shared" si="7"/>
        <v>872.56000000000006</v>
      </c>
      <c r="K53" s="231">
        <v>89.35</v>
      </c>
      <c r="L53" s="215">
        <v>2.2000000000000002</v>
      </c>
      <c r="M53" s="215">
        <v>1.4</v>
      </c>
      <c r="N53" s="215">
        <v>0.45</v>
      </c>
      <c r="O53" s="215">
        <v>3.7</v>
      </c>
    </row>
    <row r="54" spans="1:15">
      <c r="A54" s="212">
        <v>49</v>
      </c>
      <c r="B54" s="217" t="s">
        <v>369</v>
      </c>
      <c r="C54" s="214" t="s">
        <v>318</v>
      </c>
      <c r="D54" s="214" t="s">
        <v>370</v>
      </c>
      <c r="E54" s="219" t="s">
        <v>279</v>
      </c>
      <c r="F54" s="214">
        <v>87.3</v>
      </c>
      <c r="G54" s="214">
        <v>8.4499999999999993</v>
      </c>
      <c r="H54" s="214">
        <f t="shared" si="6"/>
        <v>737.68499999999995</v>
      </c>
      <c r="I54" s="232"/>
      <c r="J54" s="214">
        <f t="shared" si="7"/>
        <v>737.68499999999995</v>
      </c>
      <c r="K54" s="231">
        <v>75.540000000000006</v>
      </c>
      <c r="L54" s="215">
        <v>2.2000000000000002</v>
      </c>
      <c r="M54" s="215">
        <v>4.4000000000000004</v>
      </c>
      <c r="N54" s="215">
        <v>0.45</v>
      </c>
      <c r="O54" s="215">
        <v>3.7</v>
      </c>
    </row>
    <row r="55" spans="1:15">
      <c r="A55" s="212">
        <v>50</v>
      </c>
      <c r="B55" s="217" t="s">
        <v>369</v>
      </c>
      <c r="C55" s="214" t="s">
        <v>370</v>
      </c>
      <c r="D55" s="214" t="s">
        <v>371</v>
      </c>
      <c r="E55" s="219" t="s">
        <v>279</v>
      </c>
      <c r="F55" s="214">
        <v>87.8</v>
      </c>
      <c r="G55" s="214">
        <v>9</v>
      </c>
      <c r="H55" s="214">
        <f t="shared" si="6"/>
        <v>790.19999999999993</v>
      </c>
      <c r="I55" s="231"/>
      <c r="J55" s="214">
        <f t="shared" si="7"/>
        <v>790.19999999999993</v>
      </c>
      <c r="K55" s="231">
        <v>80.92</v>
      </c>
      <c r="L55" s="215">
        <v>2.2000000000000002</v>
      </c>
      <c r="M55" s="215">
        <v>1.3</v>
      </c>
      <c r="N55" s="215">
        <v>0.45</v>
      </c>
      <c r="O55" s="215">
        <v>3.8</v>
      </c>
    </row>
    <row r="56" spans="1:15">
      <c r="A56" s="212">
        <v>51</v>
      </c>
      <c r="B56" s="217" t="s">
        <v>370</v>
      </c>
      <c r="C56" s="214" t="s">
        <v>318</v>
      </c>
      <c r="D56" s="214" t="s">
        <v>372</v>
      </c>
      <c r="E56" s="219" t="s">
        <v>279</v>
      </c>
      <c r="F56" s="214">
        <v>76.7</v>
      </c>
      <c r="G56" s="214">
        <v>8</v>
      </c>
      <c r="H56" s="214">
        <f t="shared" si="6"/>
        <v>613.6</v>
      </c>
      <c r="I56" s="233">
        <v>60</v>
      </c>
      <c r="J56" s="214">
        <f t="shared" si="7"/>
        <v>673.6</v>
      </c>
      <c r="K56" s="231">
        <v>68.98</v>
      </c>
      <c r="L56" s="215">
        <v>2.2000000000000002</v>
      </c>
      <c r="M56" s="215">
        <v>1.8</v>
      </c>
      <c r="N56" s="215">
        <v>0.45</v>
      </c>
      <c r="O56" s="215">
        <v>3.3</v>
      </c>
    </row>
    <row r="57" spans="1:15">
      <c r="A57" s="212">
        <v>52</v>
      </c>
      <c r="B57" s="217" t="s">
        <v>373</v>
      </c>
      <c r="C57" s="214" t="s">
        <v>374</v>
      </c>
      <c r="D57" s="214" t="s">
        <v>375</v>
      </c>
      <c r="E57" s="219" t="s">
        <v>279</v>
      </c>
      <c r="F57" s="214">
        <v>210.5</v>
      </c>
      <c r="G57" s="214">
        <v>7</v>
      </c>
      <c r="H57" s="214">
        <f t="shared" si="6"/>
        <v>1473.5</v>
      </c>
      <c r="I57" s="214">
        <v>30</v>
      </c>
      <c r="J57" s="214">
        <f t="shared" si="7"/>
        <v>1503.5</v>
      </c>
      <c r="K57" s="231">
        <v>153.96</v>
      </c>
      <c r="L57" s="215">
        <v>2.2000000000000002</v>
      </c>
      <c r="M57" s="215">
        <v>2</v>
      </c>
      <c r="N57" s="215">
        <v>0.45</v>
      </c>
      <c r="O57" s="215">
        <v>3.7</v>
      </c>
    </row>
    <row r="58" spans="1:15">
      <c r="A58" s="212">
        <v>53</v>
      </c>
      <c r="B58" s="217" t="s">
        <v>376</v>
      </c>
      <c r="C58" s="214" t="s">
        <v>377</v>
      </c>
      <c r="D58" s="214" t="s">
        <v>328</v>
      </c>
      <c r="E58" s="219" t="s">
        <v>279</v>
      </c>
      <c r="F58" s="214">
        <v>83.4</v>
      </c>
      <c r="G58" s="214">
        <v>4.5</v>
      </c>
      <c r="H58" s="214">
        <f t="shared" si="6"/>
        <v>375.3</v>
      </c>
      <c r="I58" s="214"/>
      <c r="J58" s="214">
        <f t="shared" si="7"/>
        <v>375.3</v>
      </c>
      <c r="K58" s="231">
        <v>38.43</v>
      </c>
      <c r="L58" s="215">
        <v>2.2000000000000002</v>
      </c>
      <c r="M58" s="215">
        <v>2</v>
      </c>
      <c r="N58" s="215">
        <v>0.45</v>
      </c>
      <c r="O58" s="215">
        <v>2.9</v>
      </c>
    </row>
    <row r="59" spans="1:15">
      <c r="A59" s="212">
        <v>54</v>
      </c>
      <c r="B59" s="217" t="s">
        <v>378</v>
      </c>
      <c r="C59" s="214" t="s">
        <v>379</v>
      </c>
      <c r="D59" s="214" t="s">
        <v>328</v>
      </c>
      <c r="E59" s="219" t="s">
        <v>279</v>
      </c>
      <c r="F59" s="214">
        <v>139.75</v>
      </c>
      <c r="G59" s="214">
        <v>8.3000000000000007</v>
      </c>
      <c r="H59" s="214">
        <f t="shared" si="6"/>
        <v>1159.9250000000002</v>
      </c>
      <c r="I59" s="214"/>
      <c r="J59" s="214">
        <f t="shared" si="7"/>
        <v>1159.9250000000002</v>
      </c>
      <c r="K59" s="231">
        <v>118.78</v>
      </c>
      <c r="L59" s="215">
        <v>2.2000000000000002</v>
      </c>
      <c r="M59" s="215">
        <v>2.8</v>
      </c>
      <c r="N59" s="215">
        <v>0.45</v>
      </c>
      <c r="O59" s="215">
        <v>3.3</v>
      </c>
    </row>
    <row r="60" spans="1:15">
      <c r="A60" s="212">
        <v>55</v>
      </c>
      <c r="B60" s="217" t="s">
        <v>380</v>
      </c>
      <c r="C60" s="214" t="s">
        <v>381</v>
      </c>
      <c r="D60" s="214" t="s">
        <v>328</v>
      </c>
      <c r="E60" s="219" t="s">
        <v>279</v>
      </c>
      <c r="F60" s="214">
        <v>212.5</v>
      </c>
      <c r="G60" s="214">
        <v>8.6999999999999993</v>
      </c>
      <c r="H60" s="214">
        <f t="shared" si="6"/>
        <v>1848.7499999999998</v>
      </c>
      <c r="I60" s="214">
        <v>53.2</v>
      </c>
      <c r="J60" s="214">
        <f t="shared" si="7"/>
        <v>1901.9499999999998</v>
      </c>
      <c r="K60" s="231">
        <v>189.31</v>
      </c>
      <c r="L60" s="215">
        <v>2.2000000000000002</v>
      </c>
      <c r="M60" s="215">
        <v>3.5</v>
      </c>
      <c r="N60" s="215">
        <v>0.45</v>
      </c>
      <c r="O60" s="215">
        <v>2.5</v>
      </c>
    </row>
    <row r="61" spans="1:15">
      <c r="A61" s="212">
        <v>56</v>
      </c>
      <c r="B61" s="217" t="s">
        <v>382</v>
      </c>
      <c r="C61" s="214" t="s">
        <v>383</v>
      </c>
      <c r="D61" s="214" t="s">
        <v>384</v>
      </c>
      <c r="E61" s="219" t="s">
        <v>279</v>
      </c>
      <c r="F61" s="214">
        <v>79.400000000000006</v>
      </c>
      <c r="G61" s="214">
        <v>5</v>
      </c>
      <c r="H61" s="214">
        <f t="shared" si="6"/>
        <v>397</v>
      </c>
      <c r="I61" s="214"/>
      <c r="J61" s="214">
        <f t="shared" si="7"/>
        <v>397</v>
      </c>
      <c r="K61" s="231">
        <v>40.65</v>
      </c>
      <c r="L61" s="215">
        <v>2.2000000000000002</v>
      </c>
      <c r="M61" s="215">
        <v>22.9</v>
      </c>
      <c r="N61" s="215">
        <v>0.45</v>
      </c>
      <c r="O61" s="215">
        <v>20.3</v>
      </c>
    </row>
    <row r="62" spans="1:15">
      <c r="A62" s="212">
        <v>57</v>
      </c>
      <c r="B62" s="217" t="s">
        <v>384</v>
      </c>
      <c r="C62" s="214" t="s">
        <v>382</v>
      </c>
      <c r="D62" s="214" t="s">
        <v>385</v>
      </c>
      <c r="E62" s="219" t="s">
        <v>279</v>
      </c>
      <c r="F62" s="214">
        <v>108.3</v>
      </c>
      <c r="G62" s="214">
        <v>5</v>
      </c>
      <c r="H62" s="214">
        <f t="shared" si="6"/>
        <v>541.5</v>
      </c>
      <c r="I62" s="214"/>
      <c r="J62" s="214">
        <f t="shared" si="7"/>
        <v>541.5</v>
      </c>
      <c r="K62" s="231">
        <v>55.45</v>
      </c>
      <c r="L62" s="215">
        <v>2.2000000000000002</v>
      </c>
      <c r="M62" s="215">
        <v>22.9</v>
      </c>
      <c r="N62" s="215">
        <v>0.45</v>
      </c>
      <c r="O62" s="215">
        <v>20.2</v>
      </c>
    </row>
    <row r="63" spans="1:15" ht="30">
      <c r="A63" s="212">
        <v>58</v>
      </c>
      <c r="B63" s="217" t="s">
        <v>386</v>
      </c>
      <c r="C63" s="214" t="s">
        <v>387</v>
      </c>
      <c r="D63" s="214" t="s">
        <v>388</v>
      </c>
      <c r="E63" s="219" t="s">
        <v>279</v>
      </c>
      <c r="F63" s="214">
        <v>235.7</v>
      </c>
      <c r="G63" s="214">
        <v>7</v>
      </c>
      <c r="H63" s="214">
        <f t="shared" si="6"/>
        <v>1649.8999999999999</v>
      </c>
      <c r="I63" s="214">
        <v>45</v>
      </c>
      <c r="J63" s="214">
        <f t="shared" si="7"/>
        <v>1694.8999999999999</v>
      </c>
      <c r="K63" s="231">
        <v>173.56</v>
      </c>
      <c r="L63" s="215">
        <v>2.2000000000000002</v>
      </c>
      <c r="M63" s="215">
        <v>0.4</v>
      </c>
      <c r="N63" s="215">
        <v>0.45</v>
      </c>
      <c r="O63" s="215">
        <v>4.3</v>
      </c>
    </row>
    <row r="64" spans="1:15">
      <c r="A64" s="212">
        <v>59</v>
      </c>
      <c r="B64" s="217" t="s">
        <v>389</v>
      </c>
      <c r="C64" s="214" t="s">
        <v>390</v>
      </c>
      <c r="D64" s="214" t="s">
        <v>391</v>
      </c>
      <c r="E64" s="219" t="s">
        <v>279</v>
      </c>
      <c r="F64" s="214">
        <v>125</v>
      </c>
      <c r="G64" s="214">
        <v>8</v>
      </c>
      <c r="H64" s="214">
        <f t="shared" si="6"/>
        <v>1000</v>
      </c>
      <c r="I64" s="214"/>
      <c r="J64" s="214">
        <f t="shared" si="7"/>
        <v>1000</v>
      </c>
      <c r="K64" s="231">
        <v>102.4</v>
      </c>
      <c r="L64" s="215">
        <v>2.2000000000000002</v>
      </c>
      <c r="M64" s="215">
        <v>1.2</v>
      </c>
      <c r="N64" s="215">
        <v>0.45</v>
      </c>
      <c r="O64" s="215">
        <v>4.7</v>
      </c>
    </row>
    <row r="65" spans="1:15">
      <c r="A65" s="212">
        <v>60</v>
      </c>
      <c r="B65" s="217" t="s">
        <v>392</v>
      </c>
      <c r="C65" s="214" t="s">
        <v>393</v>
      </c>
      <c r="D65" s="214" t="s">
        <v>388</v>
      </c>
      <c r="E65" s="219" t="s">
        <v>279</v>
      </c>
      <c r="F65" s="214">
        <v>110</v>
      </c>
      <c r="G65" s="214">
        <v>7.15</v>
      </c>
      <c r="H65" s="214">
        <f t="shared" si="6"/>
        <v>786.5</v>
      </c>
      <c r="I65" s="214"/>
      <c r="J65" s="214">
        <f t="shared" si="7"/>
        <v>786.5</v>
      </c>
      <c r="K65" s="231">
        <v>80.540000000000006</v>
      </c>
      <c r="L65" s="215">
        <v>2.2000000000000002</v>
      </c>
      <c r="M65" s="215">
        <v>0.45</v>
      </c>
      <c r="N65" s="215">
        <v>0.45</v>
      </c>
      <c r="O65" s="215">
        <v>4.3</v>
      </c>
    </row>
    <row r="66" spans="1:15">
      <c r="A66" s="212">
        <v>61</v>
      </c>
      <c r="B66" s="217" t="s">
        <v>286</v>
      </c>
      <c r="C66" s="214" t="s">
        <v>290</v>
      </c>
      <c r="D66" s="214" t="s">
        <v>291</v>
      </c>
      <c r="E66" s="219" t="s">
        <v>279</v>
      </c>
      <c r="F66" s="214">
        <v>395.6</v>
      </c>
      <c r="G66" s="214">
        <v>8.5</v>
      </c>
      <c r="H66" s="214">
        <f t="shared" si="6"/>
        <v>3362.6000000000004</v>
      </c>
      <c r="I66" s="214"/>
      <c r="J66" s="214">
        <f t="shared" si="7"/>
        <v>3362.6000000000004</v>
      </c>
      <c r="K66" s="231">
        <v>344.33</v>
      </c>
      <c r="L66" s="215">
        <v>2.2000000000000002</v>
      </c>
      <c r="M66" s="215">
        <v>7</v>
      </c>
      <c r="N66" s="215">
        <v>0.45</v>
      </c>
      <c r="O66" s="215">
        <v>5.2</v>
      </c>
    </row>
    <row r="67" spans="1:15">
      <c r="A67" s="212">
        <v>62</v>
      </c>
      <c r="B67" s="217" t="s">
        <v>292</v>
      </c>
      <c r="C67" s="230" t="s">
        <v>286</v>
      </c>
      <c r="D67" s="214" t="s">
        <v>293</v>
      </c>
      <c r="E67" s="219" t="s">
        <v>279</v>
      </c>
      <c r="F67" s="214">
        <v>101</v>
      </c>
      <c r="G67" s="214">
        <v>8.3000000000000007</v>
      </c>
      <c r="H67" s="214">
        <f t="shared" si="6"/>
        <v>838.30000000000007</v>
      </c>
      <c r="I67" s="214"/>
      <c r="J67" s="214">
        <f t="shared" si="7"/>
        <v>838.30000000000007</v>
      </c>
      <c r="K67" s="231">
        <v>85.84</v>
      </c>
      <c r="L67" s="215">
        <v>2.2000000000000002</v>
      </c>
      <c r="M67" s="215">
        <v>6.9</v>
      </c>
      <c r="N67" s="215">
        <v>0.45</v>
      </c>
      <c r="O67" s="215">
        <v>5.2</v>
      </c>
    </row>
    <row r="68" spans="1:15">
      <c r="A68" s="212">
        <v>63</v>
      </c>
      <c r="B68" s="217" t="s">
        <v>294</v>
      </c>
      <c r="C68" s="230" t="s">
        <v>286</v>
      </c>
      <c r="D68" s="214" t="s">
        <v>293</v>
      </c>
      <c r="E68" s="219" t="s">
        <v>279</v>
      </c>
      <c r="F68" s="214">
        <v>110.9</v>
      </c>
      <c r="G68" s="214">
        <v>8</v>
      </c>
      <c r="H68" s="214">
        <f t="shared" si="6"/>
        <v>887.2</v>
      </c>
      <c r="I68" s="214"/>
      <c r="J68" s="214">
        <f t="shared" si="7"/>
        <v>887.2</v>
      </c>
      <c r="K68" s="231">
        <v>90.85</v>
      </c>
      <c r="L68" s="215">
        <v>2.2000000000000002</v>
      </c>
      <c r="M68" s="215">
        <v>7</v>
      </c>
      <c r="N68" s="215">
        <v>0.45</v>
      </c>
      <c r="O68" s="215">
        <v>5.3</v>
      </c>
    </row>
    <row r="69" spans="1:15">
      <c r="A69" s="212">
        <v>64</v>
      </c>
      <c r="B69" s="235" t="s">
        <v>295</v>
      </c>
      <c r="C69" s="230" t="s">
        <v>286</v>
      </c>
      <c r="D69" s="214" t="s">
        <v>293</v>
      </c>
      <c r="E69" s="219" t="s">
        <v>279</v>
      </c>
      <c r="F69" s="214">
        <v>128.30000000000001</v>
      </c>
      <c r="G69" s="214">
        <v>8</v>
      </c>
      <c r="H69" s="214">
        <f t="shared" si="6"/>
        <v>1026.4000000000001</v>
      </c>
      <c r="I69" s="214"/>
      <c r="J69" s="214">
        <f t="shared" si="7"/>
        <v>1026.4000000000001</v>
      </c>
      <c r="K69" s="231">
        <v>105.1</v>
      </c>
      <c r="L69" s="215">
        <v>2.2000000000000002</v>
      </c>
      <c r="M69" s="215">
        <v>7.1</v>
      </c>
      <c r="N69" s="215">
        <v>0.45</v>
      </c>
      <c r="O69" s="215">
        <v>5.3</v>
      </c>
    </row>
    <row r="70" spans="1:15">
      <c r="A70" s="212">
        <v>65</v>
      </c>
      <c r="B70" s="235" t="s">
        <v>291</v>
      </c>
      <c r="C70" s="230" t="s">
        <v>286</v>
      </c>
      <c r="D70" s="214" t="s">
        <v>293</v>
      </c>
      <c r="E70" s="219" t="s">
        <v>279</v>
      </c>
      <c r="F70" s="214">
        <v>258.39999999999998</v>
      </c>
      <c r="G70" s="214">
        <v>7.8</v>
      </c>
      <c r="H70" s="214">
        <f t="shared" si="6"/>
        <v>2015.5199999999998</v>
      </c>
      <c r="I70" s="214"/>
      <c r="J70" s="214">
        <f t="shared" si="7"/>
        <v>2015.5199999999998</v>
      </c>
      <c r="K70" s="231">
        <v>206.39</v>
      </c>
      <c r="L70" s="215">
        <v>2.2000000000000002</v>
      </c>
      <c r="M70" s="215">
        <v>7.1</v>
      </c>
      <c r="N70" s="215">
        <v>0.45</v>
      </c>
      <c r="O70" s="215">
        <v>5.5</v>
      </c>
    </row>
    <row r="71" spans="1:15">
      <c r="A71" s="212">
        <v>66</v>
      </c>
      <c r="B71" s="235" t="s">
        <v>293</v>
      </c>
      <c r="C71" s="230" t="s">
        <v>339</v>
      </c>
      <c r="D71" s="236"/>
      <c r="E71" s="219" t="s">
        <v>279</v>
      </c>
      <c r="F71" s="214">
        <v>175</v>
      </c>
      <c r="G71" s="214">
        <v>8.4</v>
      </c>
      <c r="H71" s="214">
        <f t="shared" si="6"/>
        <v>1470</v>
      </c>
      <c r="I71" s="214"/>
      <c r="J71" s="214">
        <f t="shared" si="7"/>
        <v>1470</v>
      </c>
      <c r="K71" s="231">
        <v>150.53</v>
      </c>
      <c r="L71" s="215">
        <v>2.2000000000000002</v>
      </c>
      <c r="M71" s="215">
        <v>7.2</v>
      </c>
      <c r="N71" s="215">
        <v>0.45</v>
      </c>
      <c r="O71" s="215">
        <v>5.3</v>
      </c>
    </row>
    <row r="72" spans="1:15">
      <c r="A72" s="212">
        <v>67</v>
      </c>
      <c r="B72" s="217" t="s">
        <v>296</v>
      </c>
      <c r="C72" s="214" t="s">
        <v>297</v>
      </c>
      <c r="D72" s="214" t="s">
        <v>298</v>
      </c>
      <c r="E72" s="219" t="s">
        <v>279</v>
      </c>
      <c r="F72" s="214">
        <v>278</v>
      </c>
      <c r="G72" s="214">
        <v>12</v>
      </c>
      <c r="H72" s="214">
        <f t="shared" si="6"/>
        <v>3336</v>
      </c>
      <c r="I72" s="214">
        <v>72</v>
      </c>
      <c r="J72" s="214">
        <f t="shared" si="7"/>
        <v>3408</v>
      </c>
      <c r="K72" s="231">
        <v>348.98</v>
      </c>
      <c r="L72" s="215">
        <v>2.2000000000000002</v>
      </c>
      <c r="M72" s="215">
        <v>9</v>
      </c>
      <c r="N72" s="215">
        <v>0.45</v>
      </c>
      <c r="O72" s="215">
        <v>6.3</v>
      </c>
    </row>
    <row r="73" spans="1:15">
      <c r="A73" s="212">
        <v>68</v>
      </c>
      <c r="B73" s="217" t="s">
        <v>298</v>
      </c>
      <c r="C73" s="214" t="s">
        <v>299</v>
      </c>
      <c r="D73" s="214" t="s">
        <v>300</v>
      </c>
      <c r="E73" s="219" t="s">
        <v>279</v>
      </c>
      <c r="F73" s="214">
        <v>93</v>
      </c>
      <c r="G73" s="214">
        <v>9</v>
      </c>
      <c r="H73" s="214">
        <f t="shared" si="6"/>
        <v>837</v>
      </c>
      <c r="I73" s="214">
        <v>54</v>
      </c>
      <c r="J73" s="214">
        <f t="shared" si="7"/>
        <v>891</v>
      </c>
      <c r="K73" s="231">
        <v>91.24</v>
      </c>
      <c r="L73" s="215">
        <v>2.2000000000000002</v>
      </c>
      <c r="M73" s="215">
        <v>9.1999999999999993</v>
      </c>
      <c r="N73" s="215">
        <v>0.45</v>
      </c>
      <c r="O73" s="215">
        <v>6.5</v>
      </c>
    </row>
    <row r="74" spans="1:15">
      <c r="A74" s="212">
        <v>69</v>
      </c>
      <c r="B74" s="217" t="s">
        <v>300</v>
      </c>
      <c r="C74" s="214" t="s">
        <v>394</v>
      </c>
      <c r="D74" s="214" t="s">
        <v>298</v>
      </c>
      <c r="E74" s="219" t="s">
        <v>279</v>
      </c>
      <c r="F74" s="214">
        <v>33.5</v>
      </c>
      <c r="G74" s="214">
        <v>9</v>
      </c>
      <c r="H74" s="220">
        <f t="shared" si="6"/>
        <v>301.5</v>
      </c>
      <c r="I74" s="220"/>
      <c r="J74" s="220">
        <f t="shared" si="7"/>
        <v>301.5</v>
      </c>
      <c r="K74" s="231">
        <v>30.87</v>
      </c>
      <c r="L74" s="215">
        <v>2.2000000000000002</v>
      </c>
      <c r="M74" s="215">
        <v>9.1999999999999993</v>
      </c>
      <c r="N74" s="215">
        <v>0.45</v>
      </c>
      <c r="O74" s="215">
        <v>6.6</v>
      </c>
    </row>
    <row r="75" spans="1:15">
      <c r="C75" s="237"/>
      <c r="D75" s="237"/>
      <c r="E75" s="237"/>
      <c r="F75" s="237"/>
      <c r="G75" s="237"/>
      <c r="H75" s="238">
        <f>SUM(J6:J74)</f>
        <v>93379.514999999999</v>
      </c>
      <c r="I75" s="222"/>
      <c r="J75" s="222"/>
      <c r="K75" s="239">
        <f>SUM(K6:K74)</f>
        <v>10783.680000000002</v>
      </c>
      <c r="L75" s="239">
        <f>SUM(L6:L74)</f>
        <v>151.79999999999998</v>
      </c>
      <c r="M75" s="239">
        <f>SUM(M6:M74)</f>
        <v>353.24999999999994</v>
      </c>
      <c r="N75" s="239">
        <f>SUM(N6:N74)</f>
        <v>31.049999999999965</v>
      </c>
      <c r="O75" s="239">
        <f>SUM(O6:O74)</f>
        <v>221.01800000000006</v>
      </c>
    </row>
    <row r="77" spans="1:15" ht="18.75">
      <c r="B77" s="240"/>
      <c r="F77" s="248" t="s">
        <v>221</v>
      </c>
      <c r="G77" s="347"/>
      <c r="H77" s="241">
        <f>SUM(J6:J74)</f>
        <v>93379.514999999999</v>
      </c>
      <c r="I77" s="224"/>
      <c r="J77" s="224"/>
      <c r="K77" s="224">
        <f>K75</f>
        <v>10783.680000000002</v>
      </c>
      <c r="L77" s="224">
        <f>L75</f>
        <v>151.79999999999998</v>
      </c>
      <c r="M77" s="242">
        <f>M75</f>
        <v>353.24999999999994</v>
      </c>
      <c r="N77" s="224">
        <f>N75</f>
        <v>31.049999999999965</v>
      </c>
      <c r="O77" s="224">
        <f>O75</f>
        <v>221.01800000000006</v>
      </c>
    </row>
    <row r="78" spans="1:15" ht="18.75">
      <c r="K78" s="225" t="s">
        <v>255</v>
      </c>
      <c r="L78" s="243">
        <f>ROUND(((SUMPRODUCT(L6:L74,K6:K74))/SUM(K6:K74)),2)</f>
        <v>2.2000000000000002</v>
      </c>
      <c r="M78" s="225">
        <f>ROUND(((SUMPRODUCT(M6:M74,K6:K74))/SUM(K6:K26)),2)</f>
        <v>11.75</v>
      </c>
      <c r="N78" s="243">
        <f>ROUND((SUMPRODUCT(N6:N74,K6:K74))/SUM(K6:K74),2)</f>
        <v>0.45</v>
      </c>
      <c r="O78" s="225">
        <f>ROUND(((SUMPRODUCT(O6:O74,K6:K74))/SUM(K6:K26)),2)</f>
        <v>6.46</v>
      </c>
    </row>
    <row r="81" spans="3:3">
      <c r="C81" s="244"/>
    </row>
    <row r="82" spans="3:3">
      <c r="C82" s="244"/>
    </row>
  </sheetData>
  <mergeCells count="7">
    <mergeCell ref="F77:G77"/>
    <mergeCell ref="B5:K5"/>
    <mergeCell ref="C4:D4"/>
    <mergeCell ref="A1:O1"/>
    <mergeCell ref="B2:O2"/>
    <mergeCell ref="L4:M4"/>
    <mergeCell ref="N4:O4"/>
  </mergeCells>
  <pageMargins left="0.23622047244094491" right="0.23622047244094491" top="0.74803149606299213" bottom="0.74803149606299213" header="0.31496062992125984" footer="0.31496062992125984"/>
  <pageSetup paperSize="9" scale="70" fitToWidth="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workbookViewId="0">
      <selection activeCell="F18" sqref="F18"/>
    </sheetView>
  </sheetViews>
  <sheetFormatPr defaultRowHeight="15"/>
  <cols>
    <col min="2" max="2" width="43" bestFit="1" customWidth="1"/>
    <col min="3" max="3" width="17.140625" style="2" customWidth="1"/>
  </cols>
  <sheetData>
    <row r="1" spans="2:10">
      <c r="B1" s="362" t="s">
        <v>236</v>
      </c>
      <c r="C1" s="362"/>
    </row>
    <row r="2" spans="2:10" ht="15" customHeight="1">
      <c r="B2" s="362"/>
      <c r="C2" s="362"/>
    </row>
    <row r="3" spans="2:10" ht="15" customHeight="1">
      <c r="B3" s="363" t="str">
        <f>Orçamento!C5</f>
        <v>Pavimentação de Ruas diversas no Município de Porto União</v>
      </c>
      <c r="C3" s="197"/>
    </row>
    <row r="4" spans="2:10" ht="15" customHeight="1">
      <c r="B4" s="363"/>
      <c r="C4" s="197"/>
    </row>
    <row r="5" spans="2:10">
      <c r="B5" s="248" t="s">
        <v>242</v>
      </c>
      <c r="C5" s="248"/>
    </row>
    <row r="6" spans="2:10">
      <c r="B6" s="249"/>
      <c r="C6" s="249"/>
    </row>
    <row r="7" spans="2:10">
      <c r="B7" s="100" t="s">
        <v>15</v>
      </c>
      <c r="C7" s="18" t="s">
        <v>43</v>
      </c>
    </row>
    <row r="8" spans="2:10">
      <c r="B8" s="19" t="s">
        <v>13</v>
      </c>
      <c r="C8" s="101">
        <v>4.4999999999999998E-2</v>
      </c>
    </row>
    <row r="9" spans="2:10">
      <c r="B9" s="20" t="s">
        <v>260</v>
      </c>
      <c r="C9" s="102">
        <v>5.5999999999999999E-3</v>
      </c>
    </row>
    <row r="10" spans="2:10" ht="15" customHeight="1">
      <c r="B10" s="20" t="s">
        <v>261</v>
      </c>
      <c r="C10" s="102">
        <v>5.0000000000000001E-3</v>
      </c>
    </row>
    <row r="11" spans="2:10" ht="15" customHeight="1">
      <c r="B11" s="20" t="s">
        <v>262</v>
      </c>
      <c r="C11" s="102">
        <v>1.2E-2</v>
      </c>
    </row>
    <row r="12" spans="2:10" ht="15" customHeight="1">
      <c r="B12" s="100" t="s">
        <v>16</v>
      </c>
      <c r="C12" s="18" t="s">
        <v>14</v>
      </c>
      <c r="H12" s="202"/>
      <c r="I12" s="203"/>
      <c r="J12" s="360"/>
    </row>
    <row r="13" spans="2:10" ht="15.75">
      <c r="B13" s="19" t="s">
        <v>263</v>
      </c>
      <c r="C13" s="101">
        <v>0.08</v>
      </c>
      <c r="H13" s="202"/>
      <c r="I13" s="204"/>
      <c r="J13" s="360"/>
    </row>
    <row r="14" spans="2:10">
      <c r="B14" s="100" t="s">
        <v>17</v>
      </c>
      <c r="C14" s="18" t="s">
        <v>14</v>
      </c>
    </row>
    <row r="15" spans="2:10">
      <c r="B15" s="19" t="s">
        <v>264</v>
      </c>
      <c r="C15" s="101">
        <v>6.4999999999999997E-3</v>
      </c>
    </row>
    <row r="16" spans="2:10">
      <c r="B16" s="20" t="s">
        <v>265</v>
      </c>
      <c r="C16" s="102">
        <v>0.03</v>
      </c>
    </row>
    <row r="17" spans="2:18">
      <c r="B17" s="20" t="s">
        <v>266</v>
      </c>
      <c r="C17" s="102">
        <v>2.5000000000000001E-2</v>
      </c>
    </row>
    <row r="18" spans="2:18">
      <c r="B18" s="20" t="s">
        <v>257</v>
      </c>
      <c r="C18" s="102">
        <v>4.4999999999999998E-2</v>
      </c>
    </row>
    <row r="19" spans="2:18" ht="15.75" thickBot="1">
      <c r="B19" s="364" t="s">
        <v>259</v>
      </c>
      <c r="C19" s="365"/>
      <c r="E19" s="196"/>
    </row>
    <row r="20" spans="2:18" ht="15.75" thickBot="1">
      <c r="B20" s="199" t="s">
        <v>1</v>
      </c>
      <c r="C20" s="198">
        <f>ROUND(((((1+C8+C10+C9)*(1+C11)*(1+C13))/((1-(C15+C16+C17)))-1)),4)</f>
        <v>0.2293</v>
      </c>
      <c r="I20" s="357"/>
      <c r="J20" s="357"/>
      <c r="K20" s="357"/>
      <c r="L20" s="357"/>
      <c r="M20" s="357"/>
      <c r="N20" s="357"/>
      <c r="O20" s="357"/>
      <c r="P20" s="357"/>
      <c r="Q20" s="357"/>
      <c r="R20" s="357"/>
    </row>
    <row r="21" spans="2:18" ht="16.5" thickBot="1">
      <c r="B21" s="199" t="s">
        <v>258</v>
      </c>
      <c r="C21" s="198">
        <f>ROUND(((((1+C8+C10+C9)*(1+C11)*(1+C13))/((1-(C15+C16+C17+C18)))-1)),4)</f>
        <v>0.29120000000000001</v>
      </c>
      <c r="I21" s="200"/>
      <c r="J21" s="200"/>
      <c r="K21" s="200"/>
      <c r="L21" s="358"/>
      <c r="M21" s="359"/>
      <c r="N21" s="359"/>
      <c r="O21" s="359"/>
      <c r="P21" s="360"/>
      <c r="Q21" s="200"/>
      <c r="R21" s="200"/>
    </row>
    <row r="22" spans="2:18" ht="15.75">
      <c r="I22" s="200"/>
      <c r="J22" s="200"/>
      <c r="K22" s="200"/>
      <c r="L22" s="358"/>
      <c r="M22" s="361"/>
      <c r="N22" s="361"/>
      <c r="O22" s="361"/>
      <c r="P22" s="360"/>
      <c r="Q22" s="200"/>
      <c r="R22" s="200"/>
    </row>
    <row r="23" spans="2:18">
      <c r="B23" s="201"/>
      <c r="C23" s="201"/>
      <c r="D23" s="201"/>
      <c r="E23" s="201"/>
      <c r="F23" s="201"/>
      <c r="G23" s="201"/>
      <c r="H23" s="201"/>
      <c r="I23" s="201"/>
      <c r="J23" s="201"/>
      <c r="K23" s="201"/>
    </row>
    <row r="24" spans="2:18" ht="15.75">
      <c r="B24" s="205"/>
      <c r="C24" s="205"/>
      <c r="E24" s="203"/>
      <c r="J24" s="200"/>
      <c r="K24" s="200"/>
    </row>
    <row r="25" spans="2:18" ht="15.75">
      <c r="B25" s="205"/>
      <c r="C25" s="205"/>
      <c r="E25" s="204"/>
      <c r="J25" s="200"/>
      <c r="K25" s="200"/>
    </row>
  </sheetData>
  <mergeCells count="10">
    <mergeCell ref="B1:C2"/>
    <mergeCell ref="B5:C6"/>
    <mergeCell ref="B3:B4"/>
    <mergeCell ref="B19:C19"/>
    <mergeCell ref="J12:J13"/>
    <mergeCell ref="I20:R20"/>
    <mergeCell ref="L21:L22"/>
    <mergeCell ref="M21:O21"/>
    <mergeCell ref="P21:P22"/>
    <mergeCell ref="M22:O2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3"/>
  <sheetViews>
    <sheetView workbookViewId="0">
      <selection activeCell="F18" sqref="F18:G18"/>
    </sheetView>
  </sheetViews>
  <sheetFormatPr defaultRowHeight="12.75"/>
  <cols>
    <col min="1" max="1" width="9.140625" style="35"/>
    <col min="2" max="2" width="9" style="35" customWidth="1"/>
    <col min="3" max="3" width="38.85546875" style="35" customWidth="1"/>
    <col min="4" max="4" width="1" style="35" customWidth="1"/>
    <col min="5" max="5" width="9" style="35" customWidth="1"/>
    <col min="6" max="6" width="1" style="35" customWidth="1"/>
    <col min="7" max="7" width="5.85546875" style="35" customWidth="1"/>
    <col min="8" max="8" width="6.85546875" style="35" customWidth="1"/>
    <col min="9" max="9" width="1.85546875" style="35" customWidth="1"/>
    <col min="10" max="10" width="9" style="35" customWidth="1"/>
    <col min="11" max="11" width="2.85546875" style="35" customWidth="1"/>
    <col min="12" max="12" width="9.85546875" style="35" customWidth="1"/>
    <col min="13" max="16384" width="9.140625" style="35"/>
  </cols>
  <sheetData>
    <row r="1" spans="2:15" ht="15.75">
      <c r="B1" s="272" t="s">
        <v>236</v>
      </c>
      <c r="C1" s="273"/>
      <c r="D1" s="273"/>
      <c r="E1" s="273"/>
      <c r="F1" s="273"/>
      <c r="G1" s="273"/>
      <c r="H1" s="273"/>
      <c r="I1" s="273"/>
      <c r="J1" s="273"/>
      <c r="K1" s="273"/>
      <c r="L1" s="128"/>
    </row>
    <row r="2" spans="2:15" ht="12.75" customHeight="1">
      <c r="B2" s="275" t="s">
        <v>241</v>
      </c>
      <c r="C2" s="276"/>
      <c r="D2" s="276"/>
      <c r="E2" s="276"/>
      <c r="F2" s="276"/>
      <c r="G2" s="276"/>
      <c r="H2" s="276"/>
      <c r="I2" s="276"/>
      <c r="J2" s="276"/>
      <c r="K2" s="276"/>
      <c r="L2" s="367"/>
    </row>
    <row r="3" spans="2:15" ht="12.75" customHeight="1">
      <c r="B3" s="275"/>
      <c r="C3" s="276"/>
      <c r="D3" s="276"/>
      <c r="E3" s="276"/>
      <c r="F3" s="276"/>
      <c r="G3" s="276"/>
      <c r="H3" s="276"/>
      <c r="I3" s="276"/>
      <c r="J3" s="276"/>
      <c r="K3" s="276"/>
      <c r="L3" s="367"/>
    </row>
    <row r="4" spans="2:15" ht="12.75" customHeight="1">
      <c r="B4" s="275"/>
      <c r="C4" s="276"/>
      <c r="D4" s="276"/>
      <c r="E4" s="276"/>
      <c r="F4" s="276"/>
      <c r="G4" s="276"/>
      <c r="H4" s="276"/>
      <c r="I4" s="276"/>
      <c r="J4" s="276"/>
      <c r="K4" s="276"/>
      <c r="L4" s="367"/>
    </row>
    <row r="5" spans="2:15" ht="15">
      <c r="B5" s="287" t="s">
        <v>25</v>
      </c>
      <c r="C5" s="288"/>
      <c r="D5" s="307"/>
      <c r="E5" s="371" t="str">
        <f>Orçamento!C5</f>
        <v>Pavimentação de Ruas diversas no Município de Porto União</v>
      </c>
      <c r="F5" s="372"/>
      <c r="G5" s="372"/>
      <c r="H5" s="372"/>
      <c r="I5" s="372"/>
      <c r="J5" s="372"/>
      <c r="K5" s="372"/>
      <c r="L5" s="373"/>
    </row>
    <row r="6" spans="2:15" ht="15">
      <c r="B6" s="366" t="s">
        <v>24</v>
      </c>
      <c r="C6" s="304"/>
      <c r="D6" s="305"/>
      <c r="E6" s="368" t="s">
        <v>26</v>
      </c>
      <c r="F6" s="369"/>
      <c r="G6" s="369"/>
      <c r="H6" s="369"/>
      <c r="I6" s="369"/>
      <c r="J6" s="369"/>
      <c r="K6" s="369"/>
      <c r="L6" s="370"/>
    </row>
    <row r="7" spans="2:15" ht="14.25" customHeight="1">
      <c r="B7" s="414" t="s">
        <v>45</v>
      </c>
      <c r="C7" s="415"/>
      <c r="D7" s="415"/>
      <c r="E7" s="415"/>
      <c r="F7" s="415"/>
      <c r="G7" s="415"/>
      <c r="H7" s="415"/>
      <c r="I7" s="415"/>
      <c r="J7" s="415"/>
      <c r="K7" s="415"/>
      <c r="L7" s="416"/>
    </row>
    <row r="8" spans="2:15" ht="24" customHeight="1">
      <c r="B8" s="417"/>
      <c r="C8" s="418"/>
      <c r="D8" s="418"/>
      <c r="E8" s="418"/>
      <c r="F8" s="418"/>
      <c r="G8" s="419"/>
      <c r="H8" s="420" t="s">
        <v>46</v>
      </c>
      <c r="I8" s="421"/>
      <c r="J8" s="422"/>
      <c r="K8" s="423" t="s">
        <v>47</v>
      </c>
      <c r="L8" s="424"/>
    </row>
    <row r="9" spans="2:15" ht="24" customHeight="1">
      <c r="B9" s="417"/>
      <c r="C9" s="418"/>
      <c r="D9" s="418"/>
      <c r="E9" s="418"/>
      <c r="F9" s="418"/>
      <c r="G9" s="419"/>
      <c r="H9" s="425" t="s">
        <v>48</v>
      </c>
      <c r="I9" s="426"/>
      <c r="J9" s="427"/>
      <c r="K9" s="423" t="s">
        <v>49</v>
      </c>
      <c r="L9" s="424"/>
    </row>
    <row r="10" spans="2:15" ht="12.2" customHeight="1">
      <c r="B10" s="407" t="s">
        <v>50</v>
      </c>
      <c r="C10" s="408"/>
      <c r="D10" s="408"/>
      <c r="E10" s="408"/>
      <c r="F10" s="408"/>
      <c r="G10" s="408"/>
      <c r="H10" s="408"/>
      <c r="I10" s="408"/>
      <c r="J10" s="408"/>
      <c r="K10" s="408"/>
      <c r="L10" s="409"/>
    </row>
    <row r="11" spans="2:15" ht="12.2" customHeight="1">
      <c r="B11" s="410" t="s">
        <v>3</v>
      </c>
      <c r="C11" s="411" t="s">
        <v>51</v>
      </c>
      <c r="D11" s="411"/>
      <c r="E11" s="411" t="s">
        <v>6</v>
      </c>
      <c r="F11" s="411" t="s">
        <v>52</v>
      </c>
      <c r="G11" s="411"/>
      <c r="H11" s="411" t="s">
        <v>53</v>
      </c>
      <c r="I11" s="412" t="s">
        <v>54</v>
      </c>
      <c r="J11" s="412"/>
      <c r="K11" s="412"/>
      <c r="L11" s="413"/>
    </row>
    <row r="12" spans="2:15" ht="24" customHeight="1">
      <c r="B12" s="410"/>
      <c r="C12" s="411"/>
      <c r="D12" s="411"/>
      <c r="E12" s="411"/>
      <c r="F12" s="411"/>
      <c r="G12" s="411"/>
      <c r="H12" s="411"/>
      <c r="I12" s="411" t="s">
        <v>55</v>
      </c>
      <c r="J12" s="411"/>
      <c r="K12" s="411"/>
      <c r="L12" s="130" t="s">
        <v>56</v>
      </c>
    </row>
    <row r="13" spans="2:15" ht="12" customHeight="1">
      <c r="B13" s="131" t="s">
        <v>57</v>
      </c>
      <c r="C13" s="405" t="s">
        <v>58</v>
      </c>
      <c r="D13" s="405"/>
      <c r="E13" s="124">
        <v>1</v>
      </c>
      <c r="F13" s="406">
        <v>2</v>
      </c>
      <c r="G13" s="406"/>
      <c r="H13" s="124">
        <v>1</v>
      </c>
      <c r="I13" s="399">
        <v>200.32980000000001</v>
      </c>
      <c r="J13" s="399"/>
      <c r="K13" s="399"/>
      <c r="L13" s="132">
        <f t="shared" ref="L13:L19" si="0">TRUNC((442/60)*E13*F13*H13*I13,2)</f>
        <v>2951.52</v>
      </c>
      <c r="O13" s="37"/>
    </row>
    <row r="14" spans="2:15" ht="12" customHeight="1">
      <c r="B14" s="131" t="s">
        <v>59</v>
      </c>
      <c r="C14" s="405" t="s">
        <v>60</v>
      </c>
      <c r="D14" s="405"/>
      <c r="E14" s="124">
        <v>1</v>
      </c>
      <c r="F14" s="406">
        <v>2</v>
      </c>
      <c r="G14" s="406"/>
      <c r="H14" s="121">
        <v>0.5</v>
      </c>
      <c r="I14" s="399">
        <f>I13</f>
        <v>200.32980000000001</v>
      </c>
      <c r="J14" s="399"/>
      <c r="K14" s="399"/>
      <c r="L14" s="132">
        <f t="shared" si="0"/>
        <v>1475.76</v>
      </c>
      <c r="O14" s="37"/>
    </row>
    <row r="15" spans="2:15" ht="12" customHeight="1">
      <c r="B15" s="131" t="s">
        <v>61</v>
      </c>
      <c r="C15" s="405" t="s">
        <v>62</v>
      </c>
      <c r="D15" s="405"/>
      <c r="E15" s="124">
        <v>1</v>
      </c>
      <c r="F15" s="406">
        <v>2</v>
      </c>
      <c r="G15" s="406"/>
      <c r="H15" s="124">
        <v>1</v>
      </c>
      <c r="I15" s="399">
        <f>I14</f>
        <v>200.32980000000001</v>
      </c>
      <c r="J15" s="399"/>
      <c r="K15" s="399"/>
      <c r="L15" s="132">
        <f t="shared" si="0"/>
        <v>2951.52</v>
      </c>
      <c r="O15" s="37"/>
    </row>
    <row r="16" spans="2:15" ht="12" customHeight="1">
      <c r="B16" s="131" t="s">
        <v>63</v>
      </c>
      <c r="C16" s="405" t="s">
        <v>64</v>
      </c>
      <c r="D16" s="405"/>
      <c r="E16" s="124">
        <v>1</v>
      </c>
      <c r="F16" s="406">
        <v>2</v>
      </c>
      <c r="G16" s="406"/>
      <c r="H16" s="121">
        <v>0.5</v>
      </c>
      <c r="I16" s="399">
        <f>I15</f>
        <v>200.32980000000001</v>
      </c>
      <c r="J16" s="399"/>
      <c r="K16" s="399"/>
      <c r="L16" s="132">
        <f t="shared" si="0"/>
        <v>1475.76</v>
      </c>
      <c r="O16" s="37"/>
    </row>
    <row r="17" spans="2:15" ht="12" customHeight="1">
      <c r="B17" s="131" t="s">
        <v>65</v>
      </c>
      <c r="C17" s="405" t="s">
        <v>66</v>
      </c>
      <c r="D17" s="405"/>
      <c r="E17" s="124">
        <v>1</v>
      </c>
      <c r="F17" s="406">
        <v>1</v>
      </c>
      <c r="G17" s="406"/>
      <c r="H17" s="124">
        <v>1</v>
      </c>
      <c r="I17" s="399">
        <f>ADM!H35</f>
        <v>18.283899999999999</v>
      </c>
      <c r="J17" s="399"/>
      <c r="K17" s="399"/>
      <c r="L17" s="132">
        <f t="shared" si="0"/>
        <v>134.69</v>
      </c>
      <c r="O17" s="37"/>
    </row>
    <row r="18" spans="2:15" ht="12" customHeight="1">
      <c r="B18" s="131" t="s">
        <v>67</v>
      </c>
      <c r="C18" s="405" t="s">
        <v>68</v>
      </c>
      <c r="D18" s="405"/>
      <c r="E18" s="124">
        <v>1</v>
      </c>
      <c r="F18" s="406">
        <v>1</v>
      </c>
      <c r="G18" s="406"/>
      <c r="H18" s="124">
        <v>1</v>
      </c>
      <c r="I18" s="399">
        <f>ADM!H61</f>
        <v>46.846299999999999</v>
      </c>
      <c r="J18" s="399"/>
      <c r="K18" s="399"/>
      <c r="L18" s="132">
        <f t="shared" si="0"/>
        <v>345.1</v>
      </c>
      <c r="O18" s="37"/>
    </row>
    <row r="19" spans="2:15" ht="12" customHeight="1">
      <c r="B19" s="133" t="s">
        <v>69</v>
      </c>
      <c r="C19" s="397" t="s">
        <v>70</v>
      </c>
      <c r="D19" s="397"/>
      <c r="E19" s="125">
        <v>1</v>
      </c>
      <c r="F19" s="398">
        <v>1</v>
      </c>
      <c r="G19" s="398"/>
      <c r="H19" s="125">
        <v>1</v>
      </c>
      <c r="I19" s="399">
        <v>139.6387</v>
      </c>
      <c r="J19" s="399"/>
      <c r="K19" s="399"/>
      <c r="L19" s="132">
        <f t="shared" si="0"/>
        <v>1028.67</v>
      </c>
      <c r="O19" s="37"/>
    </row>
    <row r="20" spans="2:15" ht="12" customHeight="1">
      <c r="B20" s="400" t="s">
        <v>71</v>
      </c>
      <c r="C20" s="401"/>
      <c r="D20" s="401"/>
      <c r="E20" s="401"/>
      <c r="F20" s="401"/>
      <c r="G20" s="401"/>
      <c r="H20" s="401"/>
      <c r="I20" s="401"/>
      <c r="J20" s="401"/>
      <c r="K20" s="401"/>
      <c r="L20" s="134">
        <f>SUM(L13:L19)</f>
        <v>10363.02</v>
      </c>
    </row>
    <row r="21" spans="2:15" ht="24" customHeight="1">
      <c r="B21" s="402" t="s">
        <v>72</v>
      </c>
      <c r="C21" s="403"/>
      <c r="D21" s="403"/>
      <c r="E21" s="403"/>
      <c r="F21" s="403"/>
      <c r="G21" s="403"/>
      <c r="H21" s="403"/>
      <c r="I21" s="403"/>
      <c r="J21" s="403"/>
      <c r="K21" s="403"/>
      <c r="L21" s="404"/>
    </row>
    <row r="22" spans="2:15" ht="12.2" customHeight="1">
      <c r="B22" s="135" t="s">
        <v>233</v>
      </c>
      <c r="L22" s="129"/>
    </row>
    <row r="23" spans="2:15" ht="12" customHeight="1">
      <c r="B23" s="136" t="s">
        <v>73</v>
      </c>
      <c r="C23" s="38" t="s">
        <v>74</v>
      </c>
      <c r="D23" s="393" t="s">
        <v>75</v>
      </c>
      <c r="E23" s="393"/>
      <c r="F23" s="393"/>
      <c r="G23" s="38" t="s">
        <v>76</v>
      </c>
      <c r="H23" s="394" t="s">
        <v>77</v>
      </c>
      <c r="I23" s="394"/>
      <c r="J23" s="39" t="s">
        <v>71</v>
      </c>
      <c r="L23" s="129"/>
    </row>
    <row r="24" spans="2:15" ht="12" customHeight="1">
      <c r="B24" s="137" t="s">
        <v>78</v>
      </c>
      <c r="C24" s="40" t="s">
        <v>79</v>
      </c>
      <c r="D24" s="395">
        <v>1</v>
      </c>
      <c r="E24" s="395"/>
      <c r="F24" s="395"/>
      <c r="G24" s="41" t="s">
        <v>80</v>
      </c>
      <c r="H24" s="396">
        <v>120.10639999999999</v>
      </c>
      <c r="I24" s="396"/>
      <c r="J24" s="42">
        <f>TRUNC(H24*D24,2)</f>
        <v>120.1</v>
      </c>
      <c r="L24" s="129"/>
    </row>
    <row r="25" spans="2:15" ht="12" customHeight="1">
      <c r="B25" s="138" t="s">
        <v>81</v>
      </c>
      <c r="C25" s="43" t="s">
        <v>189</v>
      </c>
      <c r="D25" s="387">
        <v>1</v>
      </c>
      <c r="E25" s="387"/>
      <c r="F25" s="387"/>
      <c r="G25" s="44" t="s">
        <v>80</v>
      </c>
      <c r="H25" s="388">
        <f>H24</f>
        <v>120.10639999999999</v>
      </c>
      <c r="I25" s="388"/>
      <c r="J25" s="42">
        <f t="shared" ref="J25:J27" si="1">TRUNC(H25*D25,2)</f>
        <v>120.1</v>
      </c>
      <c r="L25" s="129"/>
    </row>
    <row r="26" spans="2:15" ht="12" customHeight="1">
      <c r="B26" s="138" t="s">
        <v>82</v>
      </c>
      <c r="C26" s="43" t="s">
        <v>83</v>
      </c>
      <c r="D26" s="387">
        <v>1</v>
      </c>
      <c r="E26" s="387"/>
      <c r="F26" s="387"/>
      <c r="G26" s="44" t="s">
        <v>80</v>
      </c>
      <c r="H26" s="388">
        <f>H24</f>
        <v>120.10639999999999</v>
      </c>
      <c r="I26" s="388"/>
      <c r="J26" s="42">
        <f t="shared" si="1"/>
        <v>120.1</v>
      </c>
      <c r="L26" s="129"/>
    </row>
    <row r="27" spans="2:15" ht="12" customHeight="1">
      <c r="B27" s="138">
        <v>4</v>
      </c>
      <c r="C27" s="45" t="s">
        <v>84</v>
      </c>
      <c r="D27" s="389">
        <v>1</v>
      </c>
      <c r="E27" s="389"/>
      <c r="F27" s="389"/>
      <c r="G27" s="46" t="s">
        <v>80</v>
      </c>
      <c r="H27" s="390">
        <f>H24</f>
        <v>120.10639999999999</v>
      </c>
      <c r="I27" s="390"/>
      <c r="J27" s="42">
        <f t="shared" si="1"/>
        <v>120.1</v>
      </c>
      <c r="L27" s="129"/>
    </row>
    <row r="28" spans="2:15" ht="12" customHeight="1">
      <c r="B28" s="139"/>
      <c r="C28" s="126"/>
      <c r="D28" s="391"/>
      <c r="E28" s="391"/>
      <c r="F28" s="391"/>
      <c r="G28" s="126"/>
      <c r="H28" s="392" t="s">
        <v>71</v>
      </c>
      <c r="I28" s="392"/>
      <c r="J28" s="47">
        <f>SUM(J24:J27)</f>
        <v>480.4</v>
      </c>
      <c r="L28" s="129"/>
    </row>
    <row r="29" spans="2:15" ht="12" customHeight="1">
      <c r="B29" s="380" t="s">
        <v>234</v>
      </c>
      <c r="C29" s="381"/>
      <c r="D29" s="381"/>
      <c r="E29" s="381"/>
      <c r="F29" s="381"/>
      <c r="G29" s="381"/>
      <c r="H29" s="381"/>
      <c r="I29" s="381"/>
      <c r="J29" s="381"/>
      <c r="K29" s="381"/>
      <c r="L29" s="382"/>
    </row>
    <row r="30" spans="2:15" ht="12" customHeight="1">
      <c r="B30" s="140" t="s">
        <v>73</v>
      </c>
      <c r="C30" s="104" t="s">
        <v>85</v>
      </c>
      <c r="D30" s="383" t="s">
        <v>86</v>
      </c>
      <c r="E30" s="383"/>
      <c r="F30" s="384"/>
      <c r="G30" s="123"/>
      <c r="H30" s="376"/>
      <c r="I30" s="376"/>
      <c r="L30" s="129"/>
    </row>
    <row r="31" spans="2:15" ht="12" customHeight="1">
      <c r="B31" s="139"/>
      <c r="C31" s="40" t="s">
        <v>87</v>
      </c>
      <c r="D31" s="385">
        <f>L20</f>
        <v>10363.02</v>
      </c>
      <c r="E31" s="385"/>
      <c r="F31" s="386"/>
      <c r="G31" s="123"/>
      <c r="H31" s="376"/>
      <c r="I31" s="376"/>
      <c r="L31" s="129"/>
    </row>
    <row r="32" spans="2:15" ht="12" customHeight="1">
      <c r="B32" s="141"/>
      <c r="C32" s="45" t="s">
        <v>88</v>
      </c>
      <c r="D32" s="374">
        <f>J28</f>
        <v>480.4</v>
      </c>
      <c r="E32" s="374"/>
      <c r="F32" s="375"/>
      <c r="G32" s="123"/>
      <c r="H32" s="376"/>
      <c r="I32" s="376"/>
      <c r="L32" s="129"/>
    </row>
    <row r="33" spans="2:12" ht="13.5" thickBot="1">
      <c r="B33" s="142"/>
      <c r="C33" s="143" t="s">
        <v>71</v>
      </c>
      <c r="D33" s="377">
        <f>D32+D31</f>
        <v>10843.42</v>
      </c>
      <c r="E33" s="377"/>
      <c r="F33" s="378"/>
      <c r="G33" s="144"/>
      <c r="H33" s="379"/>
      <c r="I33" s="379"/>
      <c r="J33" s="145"/>
      <c r="K33" s="145"/>
      <c r="L33" s="146"/>
    </row>
  </sheetData>
  <mergeCells count="64">
    <mergeCell ref="B7:L7"/>
    <mergeCell ref="B8:G9"/>
    <mergeCell ref="H8:J8"/>
    <mergeCell ref="K8:L8"/>
    <mergeCell ref="H9:J9"/>
    <mergeCell ref="K9:L9"/>
    <mergeCell ref="B10:L10"/>
    <mergeCell ref="B11:B12"/>
    <mergeCell ref="C11:D12"/>
    <mergeCell ref="E11:E12"/>
    <mergeCell ref="F11:G12"/>
    <mergeCell ref="H11:H12"/>
    <mergeCell ref="I11:L11"/>
    <mergeCell ref="I12:K12"/>
    <mergeCell ref="C13:D13"/>
    <mergeCell ref="F13:G13"/>
    <mergeCell ref="I13:K13"/>
    <mergeCell ref="C14:D14"/>
    <mergeCell ref="F14:G14"/>
    <mergeCell ref="I14:K14"/>
    <mergeCell ref="C15:D15"/>
    <mergeCell ref="F15:G15"/>
    <mergeCell ref="I15:K15"/>
    <mergeCell ref="C16:D16"/>
    <mergeCell ref="F16:G16"/>
    <mergeCell ref="I16:K16"/>
    <mergeCell ref="C17:D17"/>
    <mergeCell ref="F17:G17"/>
    <mergeCell ref="I17:K17"/>
    <mergeCell ref="C18:D18"/>
    <mergeCell ref="F18:G18"/>
    <mergeCell ref="I18:K18"/>
    <mergeCell ref="C19:D19"/>
    <mergeCell ref="F19:G19"/>
    <mergeCell ref="I19:K19"/>
    <mergeCell ref="B20:K20"/>
    <mergeCell ref="B21:L21"/>
    <mergeCell ref="D23:F23"/>
    <mergeCell ref="H23:I23"/>
    <mergeCell ref="D24:F24"/>
    <mergeCell ref="H24:I24"/>
    <mergeCell ref="D25:F25"/>
    <mergeCell ref="H25:I25"/>
    <mergeCell ref="D26:F26"/>
    <mergeCell ref="H26:I26"/>
    <mergeCell ref="D27:F27"/>
    <mergeCell ref="H27:I27"/>
    <mergeCell ref="D28:F28"/>
    <mergeCell ref="H28:I28"/>
    <mergeCell ref="D32:F32"/>
    <mergeCell ref="H32:I32"/>
    <mergeCell ref="D33:F33"/>
    <mergeCell ref="H33:I33"/>
    <mergeCell ref="B29:L29"/>
    <mergeCell ref="D30:F30"/>
    <mergeCell ref="H30:I30"/>
    <mergeCell ref="D31:F31"/>
    <mergeCell ref="H31:I31"/>
    <mergeCell ref="B1:K1"/>
    <mergeCell ref="B5:D5"/>
    <mergeCell ref="B6:D6"/>
    <mergeCell ref="B2:L4"/>
    <mergeCell ref="E6:L6"/>
    <mergeCell ref="E5:L5"/>
  </mergeCells>
  <pageMargins left="0.70866141732283472" right="0.98425196850393704" top="1.5748031496062993" bottom="0.74803149606299213" header="0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10</vt:i4>
      </vt:variant>
    </vt:vector>
  </HeadingPairs>
  <TitlesOfParts>
    <vt:vector size="17" baseType="lpstr">
      <vt:lpstr>Orçamento</vt:lpstr>
      <vt:lpstr>Ligantes</vt:lpstr>
      <vt:lpstr>Momentos Transporte</vt:lpstr>
      <vt:lpstr>ADM</vt:lpstr>
      <vt:lpstr>DMT</vt:lpstr>
      <vt:lpstr>BDI</vt:lpstr>
      <vt:lpstr>MOB</vt:lpstr>
      <vt:lpstr>ADM!Area_de_impressao</vt:lpstr>
      <vt:lpstr>BDI!Area_de_impressao</vt:lpstr>
      <vt:lpstr>DMT!Area_de_impressao</vt:lpstr>
      <vt:lpstr>Ligantes!Area_de_impressao</vt:lpstr>
      <vt:lpstr>MOB!Area_de_impressao</vt:lpstr>
      <vt:lpstr>'Momentos Transporte'!Area_de_impressao</vt:lpstr>
      <vt:lpstr>Orçamento!Area_de_impressao</vt:lpstr>
      <vt:lpstr>ADM!Titulos_de_impressao</vt:lpstr>
      <vt:lpstr>DMT!Titulos_de_impressao</vt:lpstr>
      <vt:lpstr>Orçamento!Titulos_de_impressao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</dc:creator>
  <cp:lastModifiedBy>Graciele Licita</cp:lastModifiedBy>
  <cp:lastPrinted>2021-05-24T11:12:48Z</cp:lastPrinted>
  <dcterms:created xsi:type="dcterms:W3CDTF">2019-08-09T13:16:45Z</dcterms:created>
  <dcterms:modified xsi:type="dcterms:W3CDTF">2021-05-26T11:38:13Z</dcterms:modified>
</cp:coreProperties>
</file>