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EDUCAÇÃO/16 - REFORMA E AMPLIAÇÃO TREM DA ALEGRIA/PARA LICITAÇÃO - JUNHO 2021/"/>
    </mc:Choice>
  </mc:AlternateContent>
  <xr:revisionPtr revIDLastSave="10798" documentId="13_ncr:1_{A968371B-C12D-4338-8846-7955339527DF}" xr6:coauthVersionLast="47" xr6:coauthVersionMax="47" xr10:uidLastSave="{32F59C3F-0D1C-4D96-838E-DA76F6BDF80C}"/>
  <bookViews>
    <workbookView xWindow="20925" yWindow="2025" windowWidth="15315" windowHeight="11385" xr2:uid="{00000000-000D-0000-FFFF-FFFF00000000}"/>
  </bookViews>
  <sheets>
    <sheet name="PLANILHA" sheetId="2" r:id="rId1"/>
    <sheet name="CRONOGRAMA 12 MESES" sheetId="4" r:id="rId2"/>
  </sheets>
  <definedNames>
    <definedName name="_xlnm._FilterDatabase" localSheetId="0" hidden="1">PLANILHA!$B$8:$J$8</definedName>
    <definedName name="_xlnm.Print_Area" localSheetId="1">'CRONOGRAMA 12 MESES'!$B$1:$AC$31</definedName>
    <definedName name="_xlnm.Print_Area" localSheetId="0">PLANILHA!$C$1:$I$848</definedName>
    <definedName name="_xlnm.Print_Titles" localSheetId="1">'CRONOGRAMA 12 MESES'!$B:$E,'CRONOGRAMA 12 MESES'!$1:$9</definedName>
    <definedName name="_xlnm.Print_Titles" localSheetId="0">PLANILHA!$1:$8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H144" i="2"/>
  <c r="I144" i="2" s="1"/>
  <c r="H487" i="2" l="1"/>
  <c r="F487" i="2"/>
  <c r="I487" i="2" s="1"/>
  <c r="H391" i="2"/>
  <c r="F391" i="2"/>
  <c r="H366" i="2"/>
  <c r="F366" i="2"/>
  <c r="H342" i="2"/>
  <c r="F342" i="2"/>
  <c r="H275" i="2"/>
  <c r="F275" i="2"/>
  <c r="H270" i="2"/>
  <c r="F270" i="2"/>
  <c r="F220" i="2"/>
  <c r="H220" i="2"/>
  <c r="F109" i="2"/>
  <c r="F189" i="2"/>
  <c r="H189" i="2"/>
  <c r="H109" i="2"/>
  <c r="I366" i="2" l="1"/>
  <c r="I391" i="2"/>
  <c r="I342" i="2"/>
  <c r="I220" i="2"/>
  <c r="I189" i="2"/>
  <c r="I270" i="2"/>
  <c r="I275" i="2"/>
  <c r="I109" i="2"/>
  <c r="F584" i="2" l="1"/>
  <c r="H573" i="2" l="1"/>
  <c r="H572" i="2"/>
  <c r="H547" i="2"/>
  <c r="H546" i="2"/>
  <c r="H517" i="2"/>
  <c r="H491" i="2"/>
  <c r="H490" i="2"/>
  <c r="H486" i="2"/>
  <c r="H458" i="2"/>
  <c r="H453" i="2"/>
  <c r="H421" i="2"/>
  <c r="H416" i="2"/>
  <c r="H392" i="2"/>
  <c r="H390" i="2"/>
  <c r="H368" i="2"/>
  <c r="H367" i="2"/>
  <c r="H365" i="2"/>
  <c r="H343" i="2"/>
  <c r="H341" i="2"/>
  <c r="H319" i="2"/>
  <c r="H318" i="2"/>
  <c r="H317" i="2"/>
  <c r="H276" i="2"/>
  <c r="H274" i="2"/>
  <c r="H271" i="2"/>
  <c r="H269" i="2"/>
  <c r="H221" i="2"/>
  <c r="H219" i="2"/>
  <c r="H218" i="2"/>
  <c r="H191" i="2"/>
  <c r="H190" i="2"/>
  <c r="H188" i="2"/>
  <c r="H141" i="2"/>
  <c r="H111" i="2"/>
  <c r="H110" i="2"/>
  <c r="H108" i="2"/>
  <c r="H826" i="2"/>
  <c r="H824" i="2"/>
  <c r="H147" i="2"/>
  <c r="H682" i="2"/>
  <c r="H681" i="2"/>
  <c r="H657" i="2"/>
  <c r="H655" i="2"/>
  <c r="H654" i="2"/>
  <c r="H651" i="2"/>
  <c r="H625" i="2"/>
  <c r="H611" i="2"/>
  <c r="H610" i="2"/>
  <c r="H19" i="2"/>
  <c r="H673" i="2" l="1"/>
  <c r="I673" i="2" s="1"/>
  <c r="F281" i="2" l="1"/>
  <c r="F238" i="2"/>
  <c r="F164" i="2"/>
  <c r="F84" i="2"/>
  <c r="H831" i="2"/>
  <c r="H832" i="2"/>
  <c r="H833" i="2"/>
  <c r="H834" i="2"/>
  <c r="H823" i="2"/>
  <c r="H825" i="2"/>
  <c r="H822" i="2"/>
  <c r="H817" i="2"/>
  <c r="H806" i="2"/>
  <c r="H807" i="2"/>
  <c r="H808" i="2"/>
  <c r="H809" i="2"/>
  <c r="H810" i="2"/>
  <c r="H813" i="2"/>
  <c r="H814" i="2"/>
  <c r="H805" i="2"/>
  <c r="H786" i="2"/>
  <c r="H789" i="2"/>
  <c r="H790" i="2"/>
  <c r="H797" i="2"/>
  <c r="H798" i="2"/>
  <c r="H799" i="2"/>
  <c r="H800" i="2"/>
  <c r="H801" i="2"/>
  <c r="H802" i="2"/>
  <c r="H785" i="2"/>
  <c r="H777" i="2"/>
  <c r="H778" i="2"/>
  <c r="H779" i="2"/>
  <c r="H780" i="2"/>
  <c r="H781" i="2"/>
  <c r="H782" i="2"/>
  <c r="H772" i="2"/>
  <c r="H771" i="2"/>
  <c r="H770" i="2"/>
  <c r="H750" i="2"/>
  <c r="H752" i="2"/>
  <c r="H754" i="2"/>
  <c r="H755" i="2"/>
  <c r="H756" i="2"/>
  <c r="H757" i="2"/>
  <c r="H758" i="2"/>
  <c r="H760" i="2"/>
  <c r="H761" i="2"/>
  <c r="H763" i="2"/>
  <c r="H764" i="2"/>
  <c r="H749" i="2"/>
  <c r="H746" i="2"/>
  <c r="H745" i="2"/>
  <c r="H742" i="2"/>
  <c r="H725" i="2"/>
  <c r="H726" i="2"/>
  <c r="H727" i="2"/>
  <c r="H728" i="2"/>
  <c r="H730" i="2"/>
  <c r="H731" i="2"/>
  <c r="H732" i="2"/>
  <c r="H734" i="2"/>
  <c r="H735" i="2"/>
  <c r="H736" i="2"/>
  <c r="H724" i="2"/>
  <c r="H715" i="2"/>
  <c r="H716" i="2"/>
  <c r="H717" i="2"/>
  <c r="H718" i="2"/>
  <c r="H719" i="2"/>
  <c r="H720" i="2"/>
  <c r="H714" i="2"/>
  <c r="H707" i="2"/>
  <c r="H702" i="2"/>
  <c r="H703" i="2"/>
  <c r="H688" i="2"/>
  <c r="H689" i="2"/>
  <c r="H690" i="2"/>
  <c r="H691" i="2"/>
  <c r="H692" i="2"/>
  <c r="H693" i="2"/>
  <c r="H694" i="2"/>
  <c r="H695" i="2"/>
  <c r="H696" i="2"/>
  <c r="H687" i="2"/>
  <c r="H678" i="2"/>
  <c r="H677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4" i="2"/>
  <c r="H660" i="2"/>
  <c r="H656" i="2"/>
  <c r="H643" i="2"/>
  <c r="H644" i="2"/>
  <c r="H645" i="2"/>
  <c r="H646" i="2"/>
  <c r="H647" i="2"/>
  <c r="H648" i="2"/>
  <c r="H649" i="2"/>
  <c r="H650" i="2"/>
  <c r="H642" i="2"/>
  <c r="H634" i="2"/>
  <c r="H635" i="2"/>
  <c r="H636" i="2"/>
  <c r="H637" i="2"/>
  <c r="H638" i="2"/>
  <c r="H639" i="2"/>
  <c r="H633" i="2"/>
  <c r="H626" i="2"/>
  <c r="H627" i="2"/>
  <c r="H629" i="2"/>
  <c r="H598" i="2"/>
  <c r="H599" i="2"/>
  <c r="H600" i="2"/>
  <c r="H601" i="2"/>
  <c r="H602" i="2"/>
  <c r="H603" i="2"/>
  <c r="H604" i="2"/>
  <c r="H605" i="2"/>
  <c r="H607" i="2"/>
  <c r="H608" i="2"/>
  <c r="H609" i="2"/>
  <c r="H612" i="2"/>
  <c r="H613" i="2"/>
  <c r="H614" i="2"/>
  <c r="H615" i="2"/>
  <c r="H616" i="2"/>
  <c r="H617" i="2"/>
  <c r="H618" i="2"/>
  <c r="H619" i="2"/>
  <c r="H620" i="2"/>
  <c r="H597" i="2"/>
  <c r="H589" i="2"/>
  <c r="H590" i="2"/>
  <c r="H591" i="2"/>
  <c r="H592" i="2"/>
  <c r="H588" i="2"/>
  <c r="H580" i="2"/>
  <c r="H581" i="2"/>
  <c r="H582" i="2"/>
  <c r="H583" i="2"/>
  <c r="H579" i="2"/>
  <c r="H555" i="2"/>
  <c r="H557" i="2"/>
  <c r="H558" i="2"/>
  <c r="H559" i="2"/>
  <c r="H560" i="2"/>
  <c r="H562" i="2"/>
  <c r="H563" i="2"/>
  <c r="H564" i="2"/>
  <c r="H565" i="2"/>
  <c r="H566" i="2"/>
  <c r="H568" i="2"/>
  <c r="H569" i="2"/>
  <c r="H571" i="2"/>
  <c r="H554" i="2"/>
  <c r="H523" i="2"/>
  <c r="H524" i="2"/>
  <c r="H526" i="2"/>
  <c r="H527" i="2"/>
  <c r="H528" i="2"/>
  <c r="H530" i="2"/>
  <c r="H532" i="2"/>
  <c r="H533" i="2"/>
  <c r="H534" i="2"/>
  <c r="H535" i="2"/>
  <c r="H538" i="2"/>
  <c r="H539" i="2"/>
  <c r="H540" i="2"/>
  <c r="H542" i="2"/>
  <c r="H543" i="2"/>
  <c r="H545" i="2"/>
  <c r="H549" i="2"/>
  <c r="H550" i="2"/>
  <c r="H502" i="2"/>
  <c r="H504" i="2"/>
  <c r="H505" i="2"/>
  <c r="H506" i="2"/>
  <c r="H508" i="2"/>
  <c r="H509" i="2"/>
  <c r="H510" i="2"/>
  <c r="H512" i="2"/>
  <c r="H513" i="2"/>
  <c r="H515" i="2"/>
  <c r="H516" i="2"/>
  <c r="H501" i="2"/>
  <c r="H470" i="2"/>
  <c r="H472" i="2"/>
  <c r="H473" i="2"/>
  <c r="H474" i="2"/>
  <c r="H477" i="2"/>
  <c r="H478" i="2"/>
  <c r="H479" i="2"/>
  <c r="H480" i="2"/>
  <c r="H482" i="2"/>
  <c r="H483" i="2"/>
  <c r="H485" i="2"/>
  <c r="H488" i="2"/>
  <c r="H489" i="2"/>
  <c r="H493" i="2"/>
  <c r="H495" i="2"/>
  <c r="H469" i="2"/>
  <c r="H434" i="2"/>
  <c r="H436" i="2"/>
  <c r="H437" i="2"/>
  <c r="H438" i="2"/>
  <c r="H440" i="2"/>
  <c r="H441" i="2"/>
  <c r="H442" i="2"/>
  <c r="H443" i="2"/>
  <c r="H445" i="2"/>
  <c r="H446" i="2"/>
  <c r="H447" i="2"/>
  <c r="H448" i="2"/>
  <c r="H449" i="2"/>
  <c r="H451" i="2"/>
  <c r="H452" i="2"/>
  <c r="H455" i="2"/>
  <c r="H456" i="2"/>
  <c r="H459" i="2"/>
  <c r="H462" i="2"/>
  <c r="H463" i="2"/>
  <c r="H464" i="2"/>
  <c r="H465" i="2"/>
  <c r="H433" i="2"/>
  <c r="H422" i="2"/>
  <c r="H423" i="2"/>
  <c r="H426" i="2"/>
  <c r="H427" i="2"/>
  <c r="H428" i="2"/>
  <c r="H429" i="2"/>
  <c r="H419" i="2"/>
  <c r="H418" i="2"/>
  <c r="H415" i="2"/>
  <c r="H414" i="2"/>
  <c r="H409" i="2"/>
  <c r="H410" i="2"/>
  <c r="H411" i="2"/>
  <c r="H412" i="2"/>
  <c r="H408" i="2"/>
  <c r="H404" i="2"/>
  <c r="H405" i="2"/>
  <c r="H406" i="2"/>
  <c r="H403" i="2"/>
  <c r="H401" i="2"/>
  <c r="H400" i="2"/>
  <c r="H399" i="2"/>
  <c r="H397" i="2"/>
  <c r="H396" i="2"/>
  <c r="H389" i="2"/>
  <c r="H387" i="2"/>
  <c r="H386" i="2"/>
  <c r="H384" i="2"/>
  <c r="H383" i="2"/>
  <c r="H382" i="2"/>
  <c r="H381" i="2"/>
  <c r="H380" i="2"/>
  <c r="H378" i="2"/>
  <c r="H377" i="2"/>
  <c r="H376" i="2"/>
  <c r="H375" i="2"/>
  <c r="H373" i="2"/>
  <c r="H372" i="2"/>
  <c r="H364" i="2"/>
  <c r="H362" i="2"/>
  <c r="H361" i="2"/>
  <c r="H359" i="2"/>
  <c r="H358" i="2"/>
  <c r="H357" i="2"/>
  <c r="H356" i="2"/>
  <c r="H355" i="2"/>
  <c r="H353" i="2"/>
  <c r="H352" i="2"/>
  <c r="H351" i="2"/>
  <c r="H350" i="2"/>
  <c r="H348" i="2"/>
  <c r="H347" i="2"/>
  <c r="H340" i="2"/>
  <c r="H338" i="2"/>
  <c r="H337" i="2"/>
  <c r="H335" i="2"/>
  <c r="H334" i="2"/>
  <c r="H333" i="2"/>
  <c r="H332" i="2"/>
  <c r="H331" i="2"/>
  <c r="H329" i="2"/>
  <c r="H328" i="2"/>
  <c r="H327" i="2"/>
  <c r="H326" i="2"/>
  <c r="H324" i="2"/>
  <c r="H323" i="2"/>
  <c r="H316" i="2"/>
  <c r="H314" i="2"/>
  <c r="H313" i="2"/>
  <c r="H310" i="2"/>
  <c r="H309" i="2"/>
  <c r="H308" i="2"/>
  <c r="H307" i="2"/>
  <c r="H306" i="2"/>
  <c r="H304" i="2"/>
  <c r="H303" i="2"/>
  <c r="H302" i="2"/>
  <c r="H301" i="2"/>
  <c r="H299" i="2"/>
  <c r="H298" i="2"/>
  <c r="H294" i="2"/>
  <c r="H293" i="2"/>
  <c r="H292" i="2"/>
  <c r="H290" i="2"/>
  <c r="H289" i="2"/>
  <c r="H288" i="2"/>
  <c r="H284" i="2"/>
  <c r="H283" i="2"/>
  <c r="H280" i="2"/>
  <c r="H273" i="2"/>
  <c r="H268" i="2"/>
  <c r="H266" i="2"/>
  <c r="H265" i="2"/>
  <c r="H263" i="2"/>
  <c r="H262" i="2"/>
  <c r="H261" i="2"/>
  <c r="H260" i="2"/>
  <c r="H259" i="2"/>
  <c r="H257" i="2"/>
  <c r="H255" i="2"/>
  <c r="H254" i="2"/>
  <c r="H253" i="2"/>
  <c r="H249" i="2"/>
  <c r="H248" i="2"/>
  <c r="H247" i="2"/>
  <c r="H246" i="2"/>
  <c r="H244" i="2"/>
  <c r="H243" i="2"/>
  <c r="H242" i="2"/>
  <c r="H240" i="2"/>
  <c r="H237" i="2"/>
  <c r="H236" i="2"/>
  <c r="H235" i="2"/>
  <c r="H234" i="2"/>
  <c r="H233" i="2"/>
  <c r="H232" i="2"/>
  <c r="H231" i="2"/>
  <c r="H227" i="2"/>
  <c r="H226" i="2"/>
  <c r="H225" i="2"/>
  <c r="H224" i="2"/>
  <c r="H223" i="2"/>
  <c r="H216" i="2"/>
  <c r="H215" i="2"/>
  <c r="H213" i="2"/>
  <c r="H212" i="2"/>
  <c r="H211" i="2"/>
  <c r="H210" i="2"/>
  <c r="H209" i="2"/>
  <c r="H208" i="2"/>
  <c r="H206" i="2"/>
  <c r="H205" i="2"/>
  <c r="H204" i="2"/>
  <c r="H201" i="2"/>
  <c r="H200" i="2"/>
  <c r="H199" i="2"/>
  <c r="H198" i="2"/>
  <c r="H197" i="2"/>
  <c r="H196" i="2"/>
  <c r="H195" i="2"/>
  <c r="H187" i="2"/>
  <c r="H185" i="2"/>
  <c r="H184" i="2"/>
  <c r="H183" i="2"/>
  <c r="H181" i="2"/>
  <c r="H179" i="2"/>
  <c r="H178" i="2"/>
  <c r="H177" i="2"/>
  <c r="H174" i="2"/>
  <c r="H173" i="2"/>
  <c r="H172" i="2"/>
  <c r="H171" i="2"/>
  <c r="H170" i="2"/>
  <c r="H168" i="2"/>
  <c r="H167" i="2"/>
  <c r="H166" i="2"/>
  <c r="H163" i="2"/>
  <c r="H162" i="2"/>
  <c r="H161" i="2"/>
  <c r="H160" i="2"/>
  <c r="H156" i="2"/>
  <c r="H154" i="2"/>
  <c r="H153" i="2"/>
  <c r="H152" i="2"/>
  <c r="H151" i="2"/>
  <c r="H150" i="2"/>
  <c r="H149" i="2"/>
  <c r="H146" i="2"/>
  <c r="H145" i="2"/>
  <c r="H143" i="2"/>
  <c r="H140" i="2"/>
  <c r="H139" i="2"/>
  <c r="H137" i="2"/>
  <c r="H136" i="2"/>
  <c r="H135" i="2"/>
  <c r="H133" i="2"/>
  <c r="H132" i="2"/>
  <c r="H131" i="2"/>
  <c r="H130" i="2"/>
  <c r="H129" i="2"/>
  <c r="H128" i="2"/>
  <c r="H127" i="2"/>
  <c r="H125" i="2"/>
  <c r="H124" i="2"/>
  <c r="H123" i="2"/>
  <c r="H120" i="2"/>
  <c r="H119" i="2"/>
  <c r="H118" i="2"/>
  <c r="H117" i="2"/>
  <c r="H116" i="2"/>
  <c r="H115" i="2"/>
  <c r="H107" i="2"/>
  <c r="H105" i="2"/>
  <c r="H104" i="2"/>
  <c r="H103" i="2"/>
  <c r="H101" i="2"/>
  <c r="H99" i="2"/>
  <c r="H98" i="2"/>
  <c r="H97" i="2"/>
  <c r="H94" i="2"/>
  <c r="H93" i="2"/>
  <c r="H92" i="2"/>
  <c r="H91" i="2"/>
  <c r="H90" i="2"/>
  <c r="H88" i="2"/>
  <c r="H87" i="2"/>
  <c r="H86" i="2"/>
  <c r="H83" i="2"/>
  <c r="H82" i="2"/>
  <c r="H81" i="2"/>
  <c r="H80" i="2"/>
  <c r="H74" i="2"/>
  <c r="H73" i="2"/>
  <c r="H72" i="2"/>
  <c r="H67" i="2"/>
  <c r="H66" i="2"/>
  <c r="H65" i="2"/>
  <c r="H64" i="2"/>
  <c r="H63" i="2"/>
  <c r="H62" i="2"/>
  <c r="H51" i="2"/>
  <c r="H50" i="2"/>
  <c r="H42" i="2"/>
  <c r="H41" i="2"/>
  <c r="H40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5" i="2"/>
  <c r="H13" i="2" l="1"/>
  <c r="I13" i="2" s="1"/>
  <c r="H830" i="2"/>
  <c r="I830" i="2" s="1"/>
  <c r="I464" i="2"/>
  <c r="I463" i="2"/>
  <c r="I462" i="2"/>
  <c r="I428" i="2"/>
  <c r="I427" i="2"/>
  <c r="I426" i="2"/>
  <c r="I151" i="2"/>
  <c r="I150" i="2"/>
  <c r="I149" i="2"/>
  <c r="H461" i="2" l="1"/>
  <c r="H148" i="2"/>
  <c r="H425" i="2"/>
  <c r="F603" i="2"/>
  <c r="I605" i="2"/>
  <c r="I604" i="2"/>
  <c r="I495" i="2"/>
  <c r="H537" i="2" l="1"/>
  <c r="I537" i="2" s="1"/>
  <c r="H721" i="2"/>
  <c r="H701" i="2"/>
  <c r="H788" i="2"/>
  <c r="H628" i="2"/>
  <c r="I603" i="2"/>
  <c r="H287" i="2" l="1"/>
  <c r="I287" i="2" s="1"/>
  <c r="H176" i="2"/>
  <c r="I176" i="2" s="1"/>
  <c r="H96" i="2"/>
  <c r="I96" i="2" s="1"/>
  <c r="H252" i="2"/>
  <c r="I252" i="2" s="1"/>
  <c r="H775" i="2"/>
  <c r="H58" i="2"/>
  <c r="H796" i="2"/>
  <c r="H753" i="2"/>
  <c r="H55" i="2"/>
  <c r="H794" i="2"/>
  <c r="H733" i="2"/>
  <c r="H54" i="2"/>
  <c r="H793" i="2"/>
  <c r="H729" i="2"/>
  <c r="H49" i="2"/>
  <c r="H792" i="2"/>
  <c r="H531" i="2"/>
  <c r="H776" i="2"/>
  <c r="H59" i="2"/>
  <c r="H791" i="2"/>
  <c r="H43" i="2"/>
  <c r="I559" i="2"/>
  <c r="H46" i="2" l="1"/>
  <c r="H44" i="2"/>
  <c r="F779" i="2"/>
  <c r="F778" i="2" s="1"/>
  <c r="F756" i="2"/>
  <c r="I756" i="2" l="1"/>
  <c r="I607" i="2"/>
  <c r="F148" i="2" l="1"/>
  <c r="H606" i="2" l="1"/>
  <c r="I606" i="2" s="1"/>
  <c r="F461" i="2"/>
  <c r="F425" i="2"/>
  <c r="I148" i="2"/>
  <c r="I425" i="2" l="1"/>
  <c r="I461" i="2"/>
  <c r="I613" i="2" l="1"/>
  <c r="I612" i="2"/>
  <c r="F34" i="2"/>
  <c r="I788" i="2"/>
  <c r="I720" i="2"/>
  <c r="I771" i="2"/>
  <c r="I814" i="2" l="1"/>
  <c r="I813" i="2"/>
  <c r="I764" i="2"/>
  <c r="I763" i="2"/>
  <c r="I761" i="2"/>
  <c r="I760" i="2"/>
  <c r="I758" i="2"/>
  <c r="I757" i="2"/>
  <c r="I755" i="2"/>
  <c r="H762" i="2" l="1"/>
  <c r="I833" i="2"/>
  <c r="I832" i="2"/>
  <c r="I831" i="2"/>
  <c r="I834" i="2"/>
  <c r="I489" i="2"/>
  <c r="I810" i="2"/>
  <c r="I809" i="2"/>
  <c r="I808" i="2"/>
  <c r="I807" i="2"/>
  <c r="I806" i="2"/>
  <c r="I805" i="2"/>
  <c r="I786" i="2"/>
  <c r="I785" i="2"/>
  <c r="F782" i="2"/>
  <c r="I778" i="2"/>
  <c r="I797" i="2"/>
  <c r="I802" i="2"/>
  <c r="I801" i="2"/>
  <c r="I800" i="2"/>
  <c r="I799" i="2"/>
  <c r="I798" i="2"/>
  <c r="I794" i="2"/>
  <c r="I793" i="2"/>
  <c r="I789" i="2"/>
  <c r="I796" i="2"/>
  <c r="I792" i="2"/>
  <c r="I791" i="2"/>
  <c r="I790" i="2"/>
  <c r="H704" i="2" l="1"/>
  <c r="I762" i="2"/>
  <c r="I782" i="2"/>
  <c r="F780" i="2"/>
  <c r="I780" i="2" s="1"/>
  <c r="F781" i="2"/>
  <c r="I781" i="2" s="1"/>
  <c r="I779" i="2"/>
  <c r="I777" i="2"/>
  <c r="I776" i="2"/>
  <c r="I775" i="2" l="1"/>
  <c r="I783" i="2" s="1"/>
  <c r="H759" i="2" l="1"/>
  <c r="I759" i="2" s="1"/>
  <c r="H812" i="2"/>
  <c r="I812" i="2" s="1"/>
  <c r="I694" i="2"/>
  <c r="I691" i="2"/>
  <c r="F257" i="2" l="1"/>
  <c r="F181" i="2"/>
  <c r="F101" i="2"/>
  <c r="I531" i="2"/>
  <c r="I257" i="2" l="1"/>
  <c r="I181" i="2"/>
  <c r="I101" i="2"/>
  <c r="F46" i="2"/>
  <c r="F42" i="2"/>
  <c r="I25" i="2"/>
  <c r="I753" i="2"/>
  <c r="I754" i="2"/>
  <c r="I749" i="2"/>
  <c r="H281" i="2" l="1"/>
  <c r="H84" i="2"/>
  <c r="H164" i="2"/>
  <c r="H521" i="2"/>
  <c r="I750" i="2"/>
  <c r="H121" i="2" l="1"/>
  <c r="I121" i="2" s="1"/>
  <c r="H475" i="2"/>
  <c r="I475" i="2" s="1"/>
  <c r="H202" i="2"/>
  <c r="I202" i="2" s="1"/>
  <c r="H238" i="2"/>
  <c r="I238" i="2" s="1"/>
  <c r="H751" i="2" l="1"/>
  <c r="F54" i="2"/>
  <c r="F55" i="2"/>
  <c r="I59" i="2"/>
  <c r="I58" i="2"/>
  <c r="F50" i="2"/>
  <c r="F51" i="2" s="1"/>
  <c r="I49" i="2"/>
  <c r="I60" i="2" l="1"/>
  <c r="I50" i="2"/>
  <c r="I54" i="2"/>
  <c r="I55" i="2"/>
  <c r="I51" i="2"/>
  <c r="I736" i="2"/>
  <c r="I735" i="2"/>
  <c r="I734" i="2"/>
  <c r="I733" i="2"/>
  <c r="I732" i="2"/>
  <c r="I731" i="2"/>
  <c r="H256" i="2" l="1"/>
  <c r="I256" i="2" s="1"/>
  <c r="H180" i="2"/>
  <c r="I180" i="2" s="1"/>
  <c r="H100" i="2"/>
  <c r="I100" i="2" s="1"/>
  <c r="I52" i="2"/>
  <c r="I56" i="2"/>
  <c r="I730" i="2"/>
  <c r="I729" i="2"/>
  <c r="I728" i="2"/>
  <c r="I727" i="2"/>
  <c r="I726" i="2"/>
  <c r="I725" i="2"/>
  <c r="H45" i="2" l="1"/>
  <c r="I45" i="2" s="1"/>
  <c r="H795" i="2"/>
  <c r="I795" i="2" s="1"/>
  <c r="I724" i="2"/>
  <c r="I737" i="2" s="1"/>
  <c r="I716" i="2"/>
  <c r="I746" i="2" l="1"/>
  <c r="I745" i="2"/>
  <c r="I747" i="2" l="1"/>
  <c r="I704" i="2"/>
  <c r="I703" i="2" l="1"/>
  <c r="I707" i="2"/>
  <c r="I702" i="2"/>
  <c r="F620" i="2"/>
  <c r="I566" i="2" l="1"/>
  <c r="I565" i="2"/>
  <c r="I564" i="2"/>
  <c r="I573" i="2"/>
  <c r="I572" i="2"/>
  <c r="I571" i="2"/>
  <c r="I569" i="2"/>
  <c r="I568" i="2"/>
  <c r="I563" i="2"/>
  <c r="I562" i="2"/>
  <c r="I560" i="2"/>
  <c r="I558" i="2"/>
  <c r="I557" i="2"/>
  <c r="I555" i="2"/>
  <c r="I554" i="2"/>
  <c r="I540" i="2"/>
  <c r="I539" i="2"/>
  <c r="I538" i="2"/>
  <c r="I546" i="2" l="1"/>
  <c r="I547" i="2"/>
  <c r="F550" i="2"/>
  <c r="I533" i="2"/>
  <c r="I532" i="2"/>
  <c r="I530" i="2"/>
  <c r="I521" i="2"/>
  <c r="I549" i="2"/>
  <c r="I545" i="2"/>
  <c r="I543" i="2"/>
  <c r="I542" i="2"/>
  <c r="I535" i="2"/>
  <c r="I534" i="2"/>
  <c r="I528" i="2"/>
  <c r="I527" i="2"/>
  <c r="I526" i="2"/>
  <c r="I524" i="2"/>
  <c r="I523" i="2"/>
  <c r="I517" i="2"/>
  <c r="I516" i="2"/>
  <c r="H787" i="2" l="1"/>
  <c r="I787" i="2" s="1"/>
  <c r="I803" i="2" s="1"/>
  <c r="H708" i="2"/>
  <c r="I708" i="2" s="1"/>
  <c r="I709" i="2" s="1"/>
  <c r="I550" i="2"/>
  <c r="I515" i="2" l="1"/>
  <c r="I513" i="2"/>
  <c r="I512" i="2"/>
  <c r="I510" i="2"/>
  <c r="I509" i="2"/>
  <c r="I508" i="2"/>
  <c r="I506" i="2"/>
  <c r="I505" i="2"/>
  <c r="I504" i="2"/>
  <c r="I502" i="2"/>
  <c r="I501" i="2"/>
  <c r="I589" i="2"/>
  <c r="I588" i="2"/>
  <c r="I592" i="2"/>
  <c r="I591" i="2"/>
  <c r="I590" i="2"/>
  <c r="I276" i="2"/>
  <c r="I271" i="2"/>
  <c r="I274" i="2"/>
  <c r="I273" i="2"/>
  <c r="I593" i="2" l="1"/>
  <c r="I269" i="2"/>
  <c r="F248" i="2"/>
  <c r="F247" i="2"/>
  <c r="I268" i="2"/>
  <c r="I266" i="2"/>
  <c r="I265" i="2"/>
  <c r="I234" i="2"/>
  <c r="I246" i="2"/>
  <c r="I263" i="2"/>
  <c r="I262" i="2"/>
  <c r="I249" i="2"/>
  <c r="H835" i="2" l="1"/>
  <c r="I248" i="2"/>
  <c r="I247" i="2"/>
  <c r="I261" i="2"/>
  <c r="I260" i="2"/>
  <c r="I259" i="2"/>
  <c r="I255" i="2"/>
  <c r="I254" i="2"/>
  <c r="I253" i="2"/>
  <c r="I244" i="2"/>
  <c r="I243" i="2"/>
  <c r="I242" i="2"/>
  <c r="I240" i="2"/>
  <c r="I237" i="2" l="1"/>
  <c r="I235" i="2" l="1"/>
  <c r="I236" i="2"/>
  <c r="I233" i="2"/>
  <c r="I232" i="2"/>
  <c r="I231" i="2"/>
  <c r="I294" i="2"/>
  <c r="I293" i="2"/>
  <c r="I292" i="2"/>
  <c r="I289" i="2"/>
  <c r="I288" i="2"/>
  <c r="F172" i="2"/>
  <c r="F171" i="2"/>
  <c r="F92" i="2"/>
  <c r="F91" i="2"/>
  <c r="I284" i="2"/>
  <c r="I283" i="2"/>
  <c r="I280" i="2"/>
  <c r="I281" i="2"/>
  <c r="I227" i="2"/>
  <c r="I225" i="2"/>
  <c r="I223" i="2"/>
  <c r="I221" i="2"/>
  <c r="I219" i="2"/>
  <c r="I218" i="2"/>
  <c r="F199" i="2"/>
  <c r="F212" i="2"/>
  <c r="F208" i="2"/>
  <c r="F211" i="2" s="1"/>
  <c r="F213" i="2"/>
  <c r="I210" i="2"/>
  <c r="I209" i="2"/>
  <c r="I216" i="2"/>
  <c r="I215" i="2"/>
  <c r="I201" i="2"/>
  <c r="I120" i="2"/>
  <c r="I200" i="2"/>
  <c r="F196" i="2"/>
  <c r="I206" i="2"/>
  <c r="I205" i="2"/>
  <c r="I204" i="2"/>
  <c r="I208" i="2" l="1"/>
  <c r="I290" i="2"/>
  <c r="I226" i="2"/>
  <c r="I224" i="2"/>
  <c r="I211" i="2"/>
  <c r="I212" i="2"/>
  <c r="I213" i="2"/>
  <c r="I198" i="2" l="1"/>
  <c r="I197" i="2"/>
  <c r="I196" i="2"/>
  <c r="I195" i="2"/>
  <c r="F160" i="2"/>
  <c r="F80" i="2"/>
  <c r="I191" i="2"/>
  <c r="I190" i="2"/>
  <c r="I188" i="2"/>
  <c r="I187" i="2"/>
  <c r="I185" i="2"/>
  <c r="I184" i="2"/>
  <c r="I183" i="2"/>
  <c r="I174" i="2"/>
  <c r="I173" i="2"/>
  <c r="I172" i="2"/>
  <c r="I171" i="2"/>
  <c r="I170" i="2"/>
  <c r="I168" i="2"/>
  <c r="I167" i="2"/>
  <c r="I166" i="2"/>
  <c r="I163" i="2"/>
  <c r="I162" i="2"/>
  <c r="I161" i="2"/>
  <c r="F119" i="2"/>
  <c r="I90" i="2"/>
  <c r="I178" i="2" l="1"/>
  <c r="I164" i="2"/>
  <c r="I179" i="2"/>
  <c r="I80" i="2"/>
  <c r="I177" i="2"/>
  <c r="I84" i="2"/>
  <c r="I160" i="2"/>
  <c r="I199" i="2"/>
  <c r="I228" i="2" s="1"/>
  <c r="I33" i="2"/>
  <c r="F609" i="2"/>
  <c r="I742" i="2"/>
  <c r="I743" i="2" s="1"/>
  <c r="I30" i="2"/>
  <c r="I609" i="2" l="1"/>
  <c r="I35" i="2"/>
  <c r="I34" i="2"/>
  <c r="I32" i="2"/>
  <c r="I817" i="2"/>
  <c r="I818" i="2" s="1"/>
  <c r="I772" i="2"/>
  <c r="I770" i="2"/>
  <c r="I773" i="2" l="1"/>
  <c r="I682" i="2"/>
  <c r="I681" i="2"/>
  <c r="I678" i="2"/>
  <c r="I677" i="2"/>
  <c r="I674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7" i="2"/>
  <c r="I656" i="2"/>
  <c r="I655" i="2"/>
  <c r="I654" i="2"/>
  <c r="I651" i="2"/>
  <c r="I650" i="2"/>
  <c r="I649" i="2"/>
  <c r="I648" i="2"/>
  <c r="I647" i="2"/>
  <c r="I646" i="2"/>
  <c r="I645" i="2"/>
  <c r="I644" i="2"/>
  <c r="I643" i="2"/>
  <c r="I642" i="2"/>
  <c r="I639" i="2"/>
  <c r="I638" i="2"/>
  <c r="I637" i="2"/>
  <c r="I636" i="2"/>
  <c r="I635" i="2"/>
  <c r="I634" i="2"/>
  <c r="I633" i="2"/>
  <c r="I629" i="2"/>
  <c r="I628" i="2"/>
  <c r="I627" i="2"/>
  <c r="I626" i="2"/>
  <c r="I625" i="2"/>
  <c r="I824" i="2"/>
  <c r="I826" i="2"/>
  <c r="I823" i="2"/>
  <c r="I683" i="2" l="1"/>
  <c r="I658" i="2"/>
  <c r="I675" i="2"/>
  <c r="I630" i="2"/>
  <c r="I679" i="2"/>
  <c r="I640" i="2"/>
  <c r="I652" i="2"/>
  <c r="F63" i="2"/>
  <c r="F62" i="2"/>
  <c r="I73" i="2"/>
  <c r="I684" i="2" l="1"/>
  <c r="I63" i="2"/>
  <c r="I62" i="2"/>
  <c r="D17" i="4" l="1"/>
  <c r="I608" i="2"/>
  <c r="I611" i="2"/>
  <c r="I610" i="2"/>
  <c r="I616" i="2"/>
  <c r="R17" i="4" l="1"/>
  <c r="L17" i="4"/>
  <c r="H17" i="4"/>
  <c r="X17" i="4"/>
  <c r="J17" i="4"/>
  <c r="Z17" i="4"/>
  <c r="F17" i="4"/>
  <c r="AB17" i="4"/>
  <c r="N17" i="4"/>
  <c r="T17" i="4"/>
  <c r="V17" i="4"/>
  <c r="P17" i="4"/>
  <c r="I601" i="2"/>
  <c r="I600" i="2"/>
  <c r="I599" i="2"/>
  <c r="I598" i="2"/>
  <c r="I491" i="2"/>
  <c r="I490" i="2"/>
  <c r="I486" i="2"/>
  <c r="I477" i="2"/>
  <c r="I493" i="2"/>
  <c r="I488" i="2"/>
  <c r="I485" i="2"/>
  <c r="I483" i="2"/>
  <c r="I482" i="2"/>
  <c r="I480" i="2"/>
  <c r="I479" i="2"/>
  <c r="I478" i="2"/>
  <c r="I474" i="2"/>
  <c r="I473" i="2"/>
  <c r="I472" i="2"/>
  <c r="I470" i="2"/>
  <c r="I469" i="2"/>
  <c r="I465" i="2" l="1"/>
  <c r="I459" i="2"/>
  <c r="I458" i="2"/>
  <c r="I456" i="2"/>
  <c r="I455" i="2"/>
  <c r="I453" i="2"/>
  <c r="I452" i="2"/>
  <c r="I451" i="2"/>
  <c r="I449" i="2"/>
  <c r="I448" i="2"/>
  <c r="I447" i="2"/>
  <c r="I446" i="2"/>
  <c r="I445" i="2"/>
  <c r="I443" i="2"/>
  <c r="I442" i="2"/>
  <c r="I441" i="2"/>
  <c r="I440" i="2"/>
  <c r="I438" i="2"/>
  <c r="I437" i="2"/>
  <c r="I436" i="2"/>
  <c r="I434" i="2"/>
  <c r="I433" i="2"/>
  <c r="I419" i="2"/>
  <c r="I416" i="2"/>
  <c r="I409" i="2" l="1"/>
  <c r="I408" i="2"/>
  <c r="I422" i="2"/>
  <c r="I399" i="2"/>
  <c r="I397" i="2"/>
  <c r="I396" i="2"/>
  <c r="I418" i="2"/>
  <c r="I429" i="2"/>
  <c r="I423" i="2"/>
  <c r="I421" i="2"/>
  <c r="I415" i="2"/>
  <c r="I414" i="2"/>
  <c r="I412" i="2"/>
  <c r="I411" i="2"/>
  <c r="I410" i="2"/>
  <c r="I406" i="2"/>
  <c r="I405" i="2"/>
  <c r="I404" i="2"/>
  <c r="I403" i="2"/>
  <c r="I401" i="2"/>
  <c r="I400" i="2"/>
  <c r="I392" i="2"/>
  <c r="I390" i="2"/>
  <c r="I389" i="2"/>
  <c r="I387" i="2"/>
  <c r="I386" i="2"/>
  <c r="I384" i="2"/>
  <c r="I383" i="2"/>
  <c r="I382" i="2"/>
  <c r="I381" i="2"/>
  <c r="I380" i="2"/>
  <c r="I378" i="2"/>
  <c r="I377" i="2"/>
  <c r="I376" i="2"/>
  <c r="I375" i="2"/>
  <c r="I373" i="2"/>
  <c r="I372" i="2"/>
  <c r="I367" i="2"/>
  <c r="I368" i="2"/>
  <c r="I365" i="2"/>
  <c r="I364" i="2"/>
  <c r="I362" i="2"/>
  <c r="I361" i="2"/>
  <c r="I359" i="2"/>
  <c r="I358" i="2"/>
  <c r="I357" i="2"/>
  <c r="I356" i="2"/>
  <c r="I355" i="2"/>
  <c r="I353" i="2"/>
  <c r="I352" i="2"/>
  <c r="I351" i="2"/>
  <c r="I350" i="2"/>
  <c r="I348" i="2"/>
  <c r="I347" i="2"/>
  <c r="I341" i="2"/>
  <c r="I343" i="2"/>
  <c r="I340" i="2"/>
  <c r="I338" i="2"/>
  <c r="I337" i="2"/>
  <c r="I335" i="2"/>
  <c r="I334" i="2"/>
  <c r="I333" i="2"/>
  <c r="I332" i="2"/>
  <c r="I331" i="2"/>
  <c r="I329" i="2"/>
  <c r="I328" i="2"/>
  <c r="I327" i="2"/>
  <c r="I326" i="2"/>
  <c r="I324" i="2"/>
  <c r="I323" i="2"/>
  <c r="I316" i="2"/>
  <c r="I318" i="2"/>
  <c r="I319" i="2"/>
  <c r="I317" i="2"/>
  <c r="I314" i="2" l="1"/>
  <c r="I313" i="2"/>
  <c r="I310" i="2"/>
  <c r="I309" i="2"/>
  <c r="I308" i="2"/>
  <c r="I307" i="2"/>
  <c r="I306" i="2"/>
  <c r="I298" i="2" l="1"/>
  <c r="I301" i="2"/>
  <c r="I299" i="2"/>
  <c r="I303" i="2"/>
  <c r="I304" i="2"/>
  <c r="I302" i="2"/>
  <c r="I118" i="2"/>
  <c r="I117" i="2"/>
  <c r="I116" i="2"/>
  <c r="I115" i="2"/>
  <c r="H497" i="2" l="1"/>
  <c r="I497" i="2" s="1"/>
  <c r="H496" i="2"/>
  <c r="I496" i="2" s="1"/>
  <c r="I156" i="2" l="1"/>
  <c r="I154" i="2"/>
  <c r="I153" i="2"/>
  <c r="I152" i="2"/>
  <c r="I147" i="2"/>
  <c r="I146" i="2"/>
  <c r="I145" i="2"/>
  <c r="I143" i="2"/>
  <c r="I141" i="2"/>
  <c r="I140" i="2"/>
  <c r="I139" i="2"/>
  <c r="I137" i="2"/>
  <c r="I136" i="2"/>
  <c r="I135" i="2"/>
  <c r="I133" i="2"/>
  <c r="I130" i="2"/>
  <c r="I129" i="2"/>
  <c r="I128" i="2"/>
  <c r="I132" i="2"/>
  <c r="I131" i="2"/>
  <c r="I127" i="2"/>
  <c r="H311" i="2" l="1"/>
  <c r="I311" i="2" s="1"/>
  <c r="H424" i="2"/>
  <c r="I424" i="2" s="1"/>
  <c r="H494" i="2"/>
  <c r="I494" i="2" s="1"/>
  <c r="H460" i="2"/>
  <c r="I460" i="2" s="1"/>
  <c r="I125" i="2"/>
  <c r="I124" i="2"/>
  <c r="I123" i="2"/>
  <c r="I119" i="2"/>
  <c r="H435" i="2" l="1"/>
  <c r="I435" i="2" s="1"/>
  <c r="I466" i="2" s="1"/>
  <c r="H325" i="2"/>
  <c r="I325" i="2" s="1"/>
  <c r="I344" i="2" s="1"/>
  <c r="H503" i="2"/>
  <c r="I503" i="2" s="1"/>
  <c r="I518" i="2" s="1"/>
  <c r="H525" i="2"/>
  <c r="I525" i="2" s="1"/>
  <c r="H349" i="2"/>
  <c r="I349" i="2" s="1"/>
  <c r="I369" i="2" s="1"/>
  <c r="H300" i="2"/>
  <c r="I300" i="2" s="1"/>
  <c r="I320" i="2" s="1"/>
  <c r="H471" i="2"/>
  <c r="I471" i="2" s="1"/>
  <c r="I498" i="2" s="1"/>
  <c r="H374" i="2"/>
  <c r="I374" i="2" s="1"/>
  <c r="I393" i="2" s="1"/>
  <c r="H155" i="2"/>
  <c r="I155" i="2" s="1"/>
  <c r="I157" i="2" s="1"/>
  <c r="H398" i="2"/>
  <c r="I398" i="2" s="1"/>
  <c r="I430" i="2" s="1"/>
  <c r="H556" i="2"/>
  <c r="I556" i="2" s="1"/>
  <c r="I574" i="2" s="1"/>
  <c r="H241" i="2"/>
  <c r="I241" i="2" s="1"/>
  <c r="I82" i="2"/>
  <c r="I94" i="2"/>
  <c r="I93" i="2"/>
  <c r="I92" i="2"/>
  <c r="I91" i="2"/>
  <c r="I83" i="2"/>
  <c r="I81" i="2"/>
  <c r="I28" i="2" l="1"/>
  <c r="I29" i="2"/>
  <c r="I23" i="2"/>
  <c r="I31" i="2"/>
  <c r="I26" i="2"/>
  <c r="I19" i="2"/>
  <c r="I21" i="2"/>
  <c r="I20" i="2"/>
  <c r="I22" i="2"/>
  <c r="I27" i="2"/>
  <c r="I24" i="2"/>
  <c r="H175" i="2" l="1"/>
  <c r="I175" i="2" s="1"/>
  <c r="I192" i="2" s="1"/>
  <c r="H811" i="2"/>
  <c r="I811" i="2" s="1"/>
  <c r="I815" i="2" s="1"/>
  <c r="I819" i="2" s="1"/>
  <c r="D22" i="4" s="1"/>
  <c r="H536" i="2"/>
  <c r="I536" i="2" s="1"/>
  <c r="I551" i="2" s="1"/>
  <c r="H584" i="2"/>
  <c r="I584" i="2" s="1"/>
  <c r="H286" i="2"/>
  <c r="I286" i="2" s="1"/>
  <c r="I295" i="2" s="1"/>
  <c r="I36" i="2"/>
  <c r="H585" i="2"/>
  <c r="Z22" i="4" l="1"/>
  <c r="L22" i="4"/>
  <c r="H22" i="4"/>
  <c r="X22" i="4"/>
  <c r="N22" i="4"/>
  <c r="V22" i="4"/>
  <c r="J22" i="4"/>
  <c r="P22" i="4"/>
  <c r="T22" i="4"/>
  <c r="F22" i="4"/>
  <c r="R22" i="4"/>
  <c r="AB22" i="4"/>
  <c r="H95" i="2"/>
  <c r="I95" i="2" s="1"/>
  <c r="H251" i="2"/>
  <c r="I251" i="2" s="1"/>
  <c r="I277" i="2" s="1"/>
  <c r="AF22" i="4"/>
  <c r="D11" i="4"/>
  <c r="I751" i="2"/>
  <c r="AE22" i="4" l="1"/>
  <c r="T11" i="4"/>
  <c r="L11" i="4"/>
  <c r="J11" i="4"/>
  <c r="R11" i="4"/>
  <c r="H11" i="4"/>
  <c r="X11" i="4"/>
  <c r="Z11" i="4"/>
  <c r="AB11" i="4"/>
  <c r="P11" i="4"/>
  <c r="N11" i="4"/>
  <c r="V11" i="4"/>
  <c r="F11" i="4"/>
  <c r="I718" i="2"/>
  <c r="I618" i="2" l="1"/>
  <c r="I620" i="2" l="1"/>
  <c r="I752" i="2" l="1"/>
  <c r="I765" i="2" s="1"/>
  <c r="I766" i="2" s="1"/>
  <c r="I695" i="2" l="1"/>
  <c r="D21" i="4" l="1"/>
  <c r="I602" i="2"/>
  <c r="P21" i="4" l="1"/>
  <c r="L21" i="4"/>
  <c r="H21" i="4"/>
  <c r="N21" i="4"/>
  <c r="V21" i="4"/>
  <c r="F21" i="4"/>
  <c r="AB21" i="4"/>
  <c r="T21" i="4"/>
  <c r="X21" i="4"/>
  <c r="R21" i="4"/>
  <c r="Z21" i="4"/>
  <c r="J21" i="4"/>
  <c r="AF21" i="4"/>
  <c r="I74" i="2"/>
  <c r="AE21" i="4" l="1"/>
  <c r="I65" i="2"/>
  <c r="I66" i="2"/>
  <c r="I64" i="2"/>
  <c r="I105" i="2" l="1"/>
  <c r="I107" i="2"/>
  <c r="I108" i="2"/>
  <c r="I619" i="2" l="1"/>
  <c r="I14" i="2" l="1"/>
  <c r="I40" i="2"/>
  <c r="I688" i="2" l="1"/>
  <c r="I689" i="2"/>
  <c r="I721" i="2" l="1"/>
  <c r="I719" i="2"/>
  <c r="I717" i="2"/>
  <c r="I715" i="2"/>
  <c r="I714" i="2"/>
  <c r="I701" i="2"/>
  <c r="I705" i="2" s="1"/>
  <c r="I710" i="2" s="1"/>
  <c r="I696" i="2"/>
  <c r="I693" i="2"/>
  <c r="I692" i="2"/>
  <c r="I690" i="2"/>
  <c r="I687" i="2"/>
  <c r="I722" i="2" l="1"/>
  <c r="I738" i="2" s="1"/>
  <c r="D20" i="4" s="1"/>
  <c r="I697" i="2"/>
  <c r="D18" i="4" s="1"/>
  <c r="AF17" i="4"/>
  <c r="AB18" i="4" l="1"/>
  <c r="T18" i="4"/>
  <c r="N18" i="4"/>
  <c r="J18" i="4"/>
  <c r="R18" i="4"/>
  <c r="Z18" i="4"/>
  <c r="V18" i="4"/>
  <c r="F18" i="4"/>
  <c r="X18" i="4"/>
  <c r="H18" i="4"/>
  <c r="P18" i="4"/>
  <c r="L18" i="4"/>
  <c r="X20" i="4"/>
  <c r="P20" i="4"/>
  <c r="F20" i="4"/>
  <c r="AB20" i="4"/>
  <c r="T20" i="4"/>
  <c r="J20" i="4"/>
  <c r="V20" i="4"/>
  <c r="Z20" i="4"/>
  <c r="R20" i="4"/>
  <c r="H20" i="4"/>
  <c r="N20" i="4"/>
  <c r="L20" i="4"/>
  <c r="D19" i="4"/>
  <c r="AF18" i="4"/>
  <c r="V19" i="4" l="1"/>
  <c r="R19" i="4"/>
  <c r="F19" i="4"/>
  <c r="T19" i="4"/>
  <c r="J19" i="4"/>
  <c r="N19" i="4"/>
  <c r="P19" i="4"/>
  <c r="Z19" i="4"/>
  <c r="AB19" i="4"/>
  <c r="X19" i="4"/>
  <c r="H19" i="4"/>
  <c r="L19" i="4"/>
  <c r="AF19" i="4"/>
  <c r="I582" i="2"/>
  <c r="I585" i="2"/>
  <c r="I583" i="2"/>
  <c r="AE19" i="4" l="1"/>
  <c r="I615" i="2"/>
  <c r="I72" i="2" l="1"/>
  <c r="I75" i="2" s="1"/>
  <c r="I42" i="2" l="1"/>
  <c r="D13" i="4" l="1"/>
  <c r="I835" i="2"/>
  <c r="I836" i="2" s="1"/>
  <c r="R13" i="4" l="1"/>
  <c r="F13" i="4"/>
  <c r="N13" i="4"/>
  <c r="T13" i="4"/>
  <c r="J13" i="4"/>
  <c r="Z13" i="4"/>
  <c r="AB13" i="4"/>
  <c r="V13" i="4"/>
  <c r="X13" i="4"/>
  <c r="L13" i="4"/>
  <c r="H13" i="4"/>
  <c r="P13" i="4"/>
  <c r="I581" i="2"/>
  <c r="I580" i="2"/>
  <c r="I579" i="2"/>
  <c r="I617" i="2"/>
  <c r="I614" i="2"/>
  <c r="I597" i="2"/>
  <c r="I111" i="2"/>
  <c r="I110" i="2"/>
  <c r="I104" i="2"/>
  <c r="I103" i="2"/>
  <c r="I99" i="2"/>
  <c r="I98" i="2"/>
  <c r="I97" i="2"/>
  <c r="I88" i="2"/>
  <c r="I67" i="2"/>
  <c r="I68" i="2" s="1"/>
  <c r="I621" i="2" l="1"/>
  <c r="I586" i="2"/>
  <c r="I594" i="2" s="1"/>
  <c r="D24" i="4"/>
  <c r="AF24" i="4" l="1"/>
  <c r="AB24" i="4"/>
  <c r="T24" i="4"/>
  <c r="J24" i="4"/>
  <c r="R24" i="4"/>
  <c r="Z24" i="4"/>
  <c r="V24" i="4"/>
  <c r="N24" i="4"/>
  <c r="X24" i="4"/>
  <c r="H24" i="4"/>
  <c r="F24" i="4"/>
  <c r="L24" i="4"/>
  <c r="P24" i="4"/>
  <c r="D15" i="4"/>
  <c r="D16" i="4"/>
  <c r="I43" i="2"/>
  <c r="I46" i="2"/>
  <c r="Z16" i="4" l="1"/>
  <c r="L16" i="4"/>
  <c r="H16" i="4"/>
  <c r="X16" i="4"/>
  <c r="V16" i="4"/>
  <c r="T16" i="4"/>
  <c r="R16" i="4"/>
  <c r="N16" i="4"/>
  <c r="J16" i="4"/>
  <c r="AB16" i="4"/>
  <c r="P16" i="4"/>
  <c r="F16" i="4"/>
  <c r="V15" i="4"/>
  <c r="P15" i="4"/>
  <c r="L15" i="4"/>
  <c r="H15" i="4"/>
  <c r="F15" i="4"/>
  <c r="AB15" i="4"/>
  <c r="T15" i="4"/>
  <c r="X15" i="4"/>
  <c r="Z15" i="4"/>
  <c r="N15" i="4"/>
  <c r="R15" i="4"/>
  <c r="J15" i="4"/>
  <c r="AF15" i="4"/>
  <c r="AF16" i="4"/>
  <c r="I87" i="2"/>
  <c r="I86" i="2"/>
  <c r="I44" i="2" l="1"/>
  <c r="I844" i="2" l="1"/>
  <c r="I845" i="2"/>
  <c r="I846" i="2"/>
  <c r="I847" i="2"/>
  <c r="I825" i="2" l="1"/>
  <c r="I822" i="2"/>
  <c r="I827" i="2" l="1"/>
  <c r="AE24" i="4" l="1"/>
  <c r="D23" i="4"/>
  <c r="AF20" i="4"/>
  <c r="R23" i="4" l="1"/>
  <c r="L23" i="4"/>
  <c r="H23" i="4"/>
  <c r="X23" i="4"/>
  <c r="Z23" i="4"/>
  <c r="AB23" i="4"/>
  <c r="T23" i="4"/>
  <c r="P23" i="4"/>
  <c r="J23" i="4"/>
  <c r="F23" i="4"/>
  <c r="N23" i="4"/>
  <c r="V23" i="4"/>
  <c r="AE20" i="4"/>
  <c r="AF23" i="4"/>
  <c r="AE23" i="4" l="1"/>
  <c r="AE15" i="4"/>
  <c r="AE17" i="4" l="1"/>
  <c r="AE16" i="4"/>
  <c r="AE18" i="4" l="1"/>
  <c r="I41" i="2"/>
  <c r="I47" i="2" s="1"/>
  <c r="I69" i="2" s="1"/>
  <c r="D12" i="4" l="1"/>
  <c r="AF11" i="4"/>
  <c r="I15" i="2"/>
  <c r="I16" i="2" s="1"/>
  <c r="AB12" i="4" l="1"/>
  <c r="V12" i="4"/>
  <c r="N12" i="4"/>
  <c r="R12" i="4"/>
  <c r="J12" i="4"/>
  <c r="Z12" i="4"/>
  <c r="P12" i="4"/>
  <c r="T12" i="4"/>
  <c r="X12" i="4"/>
  <c r="F12" i="4"/>
  <c r="L12" i="4"/>
  <c r="H12" i="4"/>
  <c r="D10" i="4"/>
  <c r="AF12" i="4"/>
  <c r="AE11" i="4"/>
  <c r="Z10" i="4" l="1"/>
  <c r="T10" i="4"/>
  <c r="P10" i="4"/>
  <c r="N10" i="4"/>
  <c r="J10" i="4"/>
  <c r="F10" i="4"/>
  <c r="AB10" i="4"/>
  <c r="X10" i="4"/>
  <c r="H10" i="4"/>
  <c r="R10" i="4"/>
  <c r="L10" i="4"/>
  <c r="V10" i="4"/>
  <c r="AE12" i="4"/>
  <c r="AF10" i="4"/>
  <c r="I848" i="2"/>
  <c r="I849" i="2"/>
  <c r="I850" i="2"/>
  <c r="AE10" i="4" l="1"/>
  <c r="AF13" i="4" l="1"/>
  <c r="AE13" i="4" l="1"/>
  <c r="I112" i="2"/>
  <c r="I575" i="2" s="1"/>
  <c r="D14" i="4" l="1"/>
  <c r="I838" i="2"/>
  <c r="J144" i="2" s="1"/>
  <c r="X14" i="4" l="1"/>
  <c r="X25" i="4" s="1"/>
  <c r="P14" i="4"/>
  <c r="F14" i="4"/>
  <c r="AB14" i="4"/>
  <c r="AB25" i="4" s="1"/>
  <c r="V14" i="4"/>
  <c r="V25" i="4" s="1"/>
  <c r="N14" i="4"/>
  <c r="N25" i="4" s="1"/>
  <c r="T14" i="4"/>
  <c r="R14" i="4"/>
  <c r="L14" i="4"/>
  <c r="J14" i="4"/>
  <c r="J25" i="4" s="1"/>
  <c r="H14" i="4"/>
  <c r="H25" i="4" s="1"/>
  <c r="Z14" i="4"/>
  <c r="Z25" i="4" s="1"/>
  <c r="J391" i="2"/>
  <c r="J487" i="2"/>
  <c r="J342" i="2"/>
  <c r="J366" i="2"/>
  <c r="J270" i="2"/>
  <c r="J275" i="2"/>
  <c r="J189" i="2"/>
  <c r="J220" i="2"/>
  <c r="J575" i="2"/>
  <c r="J109" i="2"/>
  <c r="L838" i="2"/>
  <c r="J87" i="2"/>
  <c r="J693" i="2"/>
  <c r="J29" i="2"/>
  <c r="J128" i="2"/>
  <c r="J408" i="2"/>
  <c r="J717" i="2"/>
  <c r="J358" i="2"/>
  <c r="J72" i="2"/>
  <c r="J620" i="2"/>
  <c r="J143" i="2"/>
  <c r="J337" i="2"/>
  <c r="J434" i="2"/>
  <c r="J827" i="2"/>
  <c r="J738" i="2"/>
  <c r="J28" i="2"/>
  <c r="J127" i="2"/>
  <c r="J406" i="2"/>
  <c r="J86" i="2"/>
  <c r="J621" i="2"/>
  <c r="J715" i="2"/>
  <c r="J31" i="2"/>
  <c r="J139" i="2"/>
  <c r="J324" i="2"/>
  <c r="J696" i="2"/>
  <c r="J46" i="2"/>
  <c r="J99" i="2"/>
  <c r="J107" i="2"/>
  <c r="J123" i="2"/>
  <c r="J311" i="2"/>
  <c r="J359" i="2"/>
  <c r="J601" i="2"/>
  <c r="J657" i="2"/>
  <c r="J629" i="2"/>
  <c r="J190" i="2"/>
  <c r="J201" i="2"/>
  <c r="J234" i="2"/>
  <c r="J532" i="2"/>
  <c r="J745" i="2"/>
  <c r="J121" i="2"/>
  <c r="J802" i="2"/>
  <c r="J464" i="2"/>
  <c r="J440" i="2"/>
  <c r="J469" i="2"/>
  <c r="J672" i="2"/>
  <c r="J647" i="2"/>
  <c r="J166" i="2"/>
  <c r="J209" i="2"/>
  <c r="J504" i="2"/>
  <c r="J527" i="2"/>
  <c r="J726" i="2"/>
  <c r="J780" i="2"/>
  <c r="J755" i="2"/>
  <c r="J756" i="2"/>
  <c r="J478" i="2"/>
  <c r="J627" i="2"/>
  <c r="J770" i="2"/>
  <c r="J198" i="2"/>
  <c r="J206" i="2"/>
  <c r="J515" i="2"/>
  <c r="J535" i="2"/>
  <c r="J730" i="2"/>
  <c r="J782" i="2"/>
  <c r="J763" i="2"/>
  <c r="J537" i="2"/>
  <c r="J326" i="2"/>
  <c r="J452" i="2"/>
  <c r="J488" i="2"/>
  <c r="J651" i="2"/>
  <c r="J80" i="2"/>
  <c r="J205" i="2"/>
  <c r="J251" i="2"/>
  <c r="J597" i="2"/>
  <c r="J617" i="2"/>
  <c r="J719" i="2"/>
  <c r="J94" i="2"/>
  <c r="J299" i="2"/>
  <c r="J357" i="2"/>
  <c r="J65" i="2"/>
  <c r="J319" i="2"/>
  <c r="J705" i="2"/>
  <c r="J20" i="2"/>
  <c r="J136" i="2"/>
  <c r="J334" i="2"/>
  <c r="J41" i="2"/>
  <c r="J822" i="2"/>
  <c r="J687" i="2"/>
  <c r="J23" i="2"/>
  <c r="J153" i="2"/>
  <c r="J353" i="2"/>
  <c r="J75" i="2"/>
  <c r="J614" i="2"/>
  <c r="J688" i="2"/>
  <c r="J92" i="2"/>
  <c r="J303" i="2"/>
  <c r="J401" i="2"/>
  <c r="J695" i="2"/>
  <c r="J69" i="2"/>
  <c r="J830" i="2"/>
  <c r="J766" i="2"/>
  <c r="J129" i="2"/>
  <c r="J421" i="2"/>
  <c r="J352" i="2"/>
  <c r="J473" i="2"/>
  <c r="J637" i="2"/>
  <c r="J642" i="2"/>
  <c r="J162" i="2"/>
  <c r="J216" i="2"/>
  <c r="J505" i="2"/>
  <c r="J523" i="2"/>
  <c r="J725" i="2"/>
  <c r="J777" i="2"/>
  <c r="J813" i="2"/>
  <c r="J676" i="2"/>
  <c r="J451" i="2"/>
  <c r="J479" i="2"/>
  <c r="J646" i="2"/>
  <c r="J817" i="2"/>
  <c r="J171" i="2"/>
  <c r="J227" i="2"/>
  <c r="J509" i="2"/>
  <c r="J560" i="2"/>
  <c r="J731" i="2"/>
  <c r="J808" i="2"/>
  <c r="J761" i="2"/>
  <c r="J673" i="2"/>
  <c r="J477" i="2"/>
  <c r="J674" i="2"/>
  <c r="J35" i="2"/>
  <c r="J208" i="2"/>
  <c r="J218" i="2"/>
  <c r="J501" i="2"/>
  <c r="J538" i="2"/>
  <c r="J733" i="2"/>
  <c r="J795" i="2"/>
  <c r="J812" i="2"/>
  <c r="J377" i="2"/>
  <c r="J348" i="2"/>
  <c r="J449" i="2"/>
  <c r="J14" i="2"/>
  <c r="J67" i="2"/>
  <c r="J40" i="2"/>
  <c r="J91" i="2"/>
  <c r="J298" i="2"/>
  <c r="J333" i="2"/>
  <c r="J27" i="2"/>
  <c r="J374" i="2"/>
  <c r="J701" i="2"/>
  <c r="J22" i="2"/>
  <c r="J132" i="2"/>
  <c r="J411" i="2"/>
  <c r="J582" i="2"/>
  <c r="J825" i="2"/>
  <c r="J714" i="2"/>
  <c r="J93" i="2"/>
  <c r="J116" i="2"/>
  <c r="J361" i="2"/>
  <c r="J751" i="2"/>
  <c r="J97" i="2"/>
  <c r="J108" i="2"/>
  <c r="J119" i="2"/>
  <c r="J313" i="2"/>
  <c r="J355" i="2"/>
  <c r="J133" i="2"/>
  <c r="J13" i="2"/>
  <c r="J583" i="2"/>
  <c r="J718" i="2"/>
  <c r="J135" i="2"/>
  <c r="J380" i="2"/>
  <c r="J437" i="2"/>
  <c r="J600" i="2"/>
  <c r="J626" i="2"/>
  <c r="J34" i="2"/>
  <c r="J191" i="2"/>
  <c r="J281" i="2"/>
  <c r="J512" i="2"/>
  <c r="J556" i="2"/>
  <c r="J51" i="2"/>
  <c r="J489" i="2"/>
  <c r="J760" i="2"/>
  <c r="J252" i="2"/>
  <c r="J435" i="2"/>
  <c r="J482" i="2"/>
  <c r="J656" i="2"/>
  <c r="J199" i="2"/>
  <c r="J290" i="2"/>
  <c r="J254" i="2"/>
  <c r="J590" i="2"/>
  <c r="J572" i="2"/>
  <c r="J58" i="2"/>
  <c r="J797" i="2"/>
  <c r="J788" i="2"/>
  <c r="J465" i="2"/>
  <c r="J470" i="2"/>
  <c r="J663" i="2"/>
  <c r="J30" i="2"/>
  <c r="J212" i="2"/>
  <c r="J241" i="2"/>
  <c r="J503" i="2"/>
  <c r="J564" i="2"/>
  <c r="J49" i="2"/>
  <c r="J831" i="2"/>
  <c r="J720" i="2"/>
  <c r="J396" i="2"/>
  <c r="J398" i="2"/>
  <c r="J490" i="2"/>
  <c r="J82" i="2"/>
  <c r="J98" i="2"/>
  <c r="J64" i="2"/>
  <c r="J131" i="2"/>
  <c r="J307" i="2"/>
  <c r="J376" i="2"/>
  <c r="J124" i="2"/>
  <c r="J382" i="2"/>
  <c r="J690" i="2"/>
  <c r="J83" i="2"/>
  <c r="J118" i="2"/>
  <c r="J362" i="2"/>
  <c r="J24" i="2"/>
  <c r="J103" i="2"/>
  <c r="J105" i="2"/>
  <c r="J125" i="2"/>
  <c r="J309" i="2"/>
  <c r="J412" i="2"/>
  <c r="J302" i="2"/>
  <c r="J835" i="2"/>
  <c r="J602" i="2"/>
  <c r="J130" i="2"/>
  <c r="J341" i="2"/>
  <c r="J328" i="2"/>
  <c r="J317" i="2"/>
  <c r="J44" i="2"/>
  <c r="J721" i="2"/>
  <c r="J26" i="2"/>
  <c r="J154" i="2"/>
  <c r="J409" i="2"/>
  <c r="J456" i="2"/>
  <c r="J598" i="2"/>
  <c r="J643" i="2"/>
  <c r="J84" i="2"/>
  <c r="J211" i="2"/>
  <c r="J242" i="2"/>
  <c r="J591" i="2"/>
  <c r="J573" i="2"/>
  <c r="J59" i="2"/>
  <c r="J791" i="2"/>
  <c r="J771" i="2"/>
  <c r="J349" i="2"/>
  <c r="J453" i="2"/>
  <c r="J610" i="2"/>
  <c r="J638" i="2"/>
  <c r="J160" i="2"/>
  <c r="J288" i="2"/>
  <c r="J240" i="2"/>
  <c r="J550" i="2"/>
  <c r="J557" i="2"/>
  <c r="J25" i="2"/>
  <c r="J789" i="2"/>
  <c r="J148" i="2"/>
  <c r="J445" i="2"/>
  <c r="J62" i="2"/>
  <c r="J667" i="2"/>
  <c r="J177" i="2"/>
  <c r="J16" i="2"/>
  <c r="J117" i="2"/>
  <c r="J42" i="2"/>
  <c r="J752" i="2"/>
  <c r="J155" i="2"/>
  <c r="J375" i="2"/>
  <c r="J389" i="2"/>
  <c r="J140" i="2"/>
  <c r="J43" i="2"/>
  <c r="J619" i="2"/>
  <c r="J95" i="2"/>
  <c r="J306" i="2"/>
  <c r="J356" i="2"/>
  <c r="J156" i="2"/>
  <c r="J836" i="2"/>
  <c r="J74" i="2"/>
  <c r="J152" i="2"/>
  <c r="J316" i="2"/>
  <c r="J403" i="2"/>
  <c r="J579" i="2"/>
  <c r="J585" i="2"/>
  <c r="J618" i="2"/>
  <c r="J145" i="2"/>
  <c r="J331" i="2"/>
  <c r="J436" i="2"/>
  <c r="J580" i="2"/>
  <c r="J594" i="2"/>
  <c r="J692" i="2"/>
  <c r="J19" i="2"/>
  <c r="J304" i="2"/>
  <c r="J343" i="2"/>
  <c r="J455" i="2"/>
  <c r="J608" i="2"/>
  <c r="J636" i="2"/>
  <c r="J33" i="2"/>
  <c r="J210" i="2"/>
  <c r="J243" i="2"/>
  <c r="J276" i="2"/>
  <c r="J571" i="2"/>
  <c r="J753" i="2"/>
  <c r="J790" i="2"/>
  <c r="J461" i="2"/>
  <c r="J410" i="2"/>
  <c r="J419" i="2"/>
  <c r="J819" i="2"/>
  <c r="J648" i="2"/>
  <c r="J174" i="2"/>
  <c r="J232" i="2"/>
  <c r="J265" i="2"/>
  <c r="J521" i="2"/>
  <c r="J703" i="2"/>
  <c r="J180" i="2"/>
  <c r="J834" i="2"/>
  <c r="J604" i="2"/>
  <c r="J442" i="2"/>
  <c r="J826" i="2"/>
  <c r="J655" i="2"/>
  <c r="J197" i="2"/>
  <c r="J284" i="2"/>
  <c r="J246" i="2"/>
  <c r="J525" i="2"/>
  <c r="J707" i="2"/>
  <c r="J475" i="2"/>
  <c r="J415" i="2"/>
  <c r="J710" i="2"/>
  <c r="J36" i="2"/>
  <c r="J137" i="2"/>
  <c r="J384" i="2"/>
  <c r="J88" i="2"/>
  <c r="J314" i="2"/>
  <c r="J110" i="2"/>
  <c r="J66" i="2"/>
  <c r="J141" i="2"/>
  <c r="J372" i="2"/>
  <c r="J404" i="2"/>
  <c r="J383" i="2"/>
  <c r="J615" i="2"/>
  <c r="J709" i="2"/>
  <c r="J146" i="2"/>
  <c r="J381" i="2"/>
  <c r="J438" i="2"/>
  <c r="J581" i="2"/>
  <c r="J697" i="2"/>
  <c r="J21" i="2"/>
  <c r="J147" i="2"/>
  <c r="J365" i="2"/>
  <c r="J104" i="2"/>
  <c r="J15" i="2"/>
  <c r="J111" i="2"/>
  <c r="J689" i="2"/>
  <c r="J81" i="2"/>
  <c r="J300" i="2"/>
  <c r="J318" i="2"/>
  <c r="J446" i="2"/>
  <c r="J73" i="2"/>
  <c r="J635" i="2"/>
  <c r="J185" i="2"/>
  <c r="J236" i="2"/>
  <c r="J261" i="2"/>
  <c r="J536" i="2"/>
  <c r="J708" i="2"/>
  <c r="J754" i="2"/>
  <c r="J811" i="2"/>
  <c r="J605" i="2"/>
  <c r="J332" i="2"/>
  <c r="J485" i="2"/>
  <c r="J670" i="2"/>
  <c r="J661" i="2"/>
  <c r="J170" i="2"/>
  <c r="J292" i="2"/>
  <c r="J249" i="2"/>
  <c r="J543" i="2"/>
  <c r="J724" i="2"/>
  <c r="J100" i="2"/>
  <c r="J798" i="2"/>
  <c r="J150" i="2"/>
  <c r="J483" i="2"/>
  <c r="J678" i="2"/>
  <c r="J634" i="2"/>
  <c r="J161" i="2"/>
  <c r="J233" i="2"/>
  <c r="J262" i="2"/>
  <c r="J542" i="2"/>
  <c r="J716" i="2"/>
  <c r="J202" i="2"/>
  <c r="J796" i="2"/>
  <c r="J805" i="2"/>
  <c r="J405" i="2"/>
  <c r="J494" i="2"/>
  <c r="J628" i="2"/>
  <c r="J90" i="2"/>
  <c r="J286" i="2"/>
  <c r="J268" i="2"/>
  <c r="J533" i="2"/>
  <c r="J729" i="2"/>
  <c r="J694" i="2"/>
  <c r="J799" i="2"/>
  <c r="J426" i="2"/>
  <c r="J399" i="2"/>
  <c r="J387" i="2"/>
  <c r="J496" i="2"/>
  <c r="J654" i="2"/>
  <c r="J671" i="2"/>
  <c r="J196" i="2"/>
  <c r="J225" i="2"/>
  <c r="J271" i="2"/>
  <c r="J545" i="2"/>
  <c r="J727" i="2"/>
  <c r="J691" i="2"/>
  <c r="J785" i="2"/>
  <c r="J427" i="2"/>
  <c r="J308" i="2"/>
  <c r="J418" i="2"/>
  <c r="J325" i="2"/>
  <c r="J472" i="2"/>
  <c r="J639" i="2"/>
  <c r="J677" i="2"/>
  <c r="J167" i="2"/>
  <c r="J215" i="2"/>
  <c r="J263" i="2"/>
  <c r="J528" i="2"/>
  <c r="J746" i="2"/>
  <c r="J238" i="2"/>
  <c r="J809" i="2"/>
  <c r="J428" i="2"/>
  <c r="M838" i="2"/>
  <c r="J775" i="2"/>
  <c r="J462" i="2"/>
  <c r="J235" i="2"/>
  <c r="J779" i="2"/>
  <c r="J287" i="2"/>
  <c r="J502" i="2"/>
  <c r="J554" i="2"/>
  <c r="J293" i="2"/>
  <c r="J787" i="2"/>
  <c r="J386" i="2"/>
  <c r="J480" i="2"/>
  <c r="J823" i="2"/>
  <c r="J187" i="2"/>
  <c r="J289" i="2"/>
  <c r="J588" i="2"/>
  <c r="J547" i="2"/>
  <c r="J55" i="2"/>
  <c r="J776" i="2"/>
  <c r="J757" i="2"/>
  <c r="J176" i="2"/>
  <c r="J350" i="2"/>
  <c r="J433" i="2"/>
  <c r="J493" i="2"/>
  <c r="J664" i="2"/>
  <c r="J609" i="2"/>
  <c r="J173" i="2"/>
  <c r="J294" i="2"/>
  <c r="J508" i="2"/>
  <c r="J517" i="2"/>
  <c r="J54" i="2"/>
  <c r="J781" i="2"/>
  <c r="J759" i="2"/>
  <c r="J96" i="2"/>
  <c r="J323" i="2"/>
  <c r="J367" i="2"/>
  <c r="J329" i="2"/>
  <c r="J474" i="2"/>
  <c r="J824" i="2"/>
  <c r="J633" i="2"/>
  <c r="J195" i="2"/>
  <c r="J283" i="2"/>
  <c r="J273" i="2"/>
  <c r="J526" i="2"/>
  <c r="J728" i="2"/>
  <c r="J793" i="2"/>
  <c r="J569" i="2"/>
  <c r="J764" i="2"/>
  <c r="J179" i="2"/>
  <c r="J806" i="2"/>
  <c r="J247" i="2"/>
  <c r="J750" i="2"/>
  <c r="J558" i="2"/>
  <c r="J807" i="2"/>
  <c r="J260" i="2"/>
  <c r="J606" i="2"/>
  <c r="J338" i="2"/>
  <c r="J63" i="2"/>
  <c r="J668" i="2"/>
  <c r="J172" i="2"/>
  <c r="J204" i="2"/>
  <c r="J589" i="2"/>
  <c r="J539" i="2"/>
  <c r="J732" i="2"/>
  <c r="J792" i="2"/>
  <c r="J758" i="2"/>
  <c r="J351" i="2"/>
  <c r="J335" i="2"/>
  <c r="J460" i="2"/>
  <c r="J491" i="2"/>
  <c r="J666" i="2"/>
  <c r="J164" i="2"/>
  <c r="J224" i="2"/>
  <c r="J237" i="2"/>
  <c r="J510" i="2"/>
  <c r="J562" i="2"/>
  <c r="J734" i="2"/>
  <c r="J778" i="2"/>
  <c r="J762" i="2"/>
  <c r="J584" i="2"/>
  <c r="J429" i="2"/>
  <c r="J414" i="2"/>
  <c r="J424" i="2"/>
  <c r="J497" i="2"/>
  <c r="J669" i="2"/>
  <c r="J32" i="2"/>
  <c r="J163" i="2"/>
  <c r="J506" i="2"/>
  <c r="J735" i="2"/>
  <c r="J259" i="2"/>
  <c r="J736" i="2"/>
  <c r="J223" i="2"/>
  <c r="J563" i="2"/>
  <c r="J524" i="2"/>
  <c r="J495" i="2"/>
  <c r="J459" i="2"/>
  <c r="J665" i="2"/>
  <c r="J650" i="2"/>
  <c r="J188" i="2"/>
  <c r="J120" i="2"/>
  <c r="J592" i="2"/>
  <c r="J540" i="2"/>
  <c r="J50" i="2"/>
  <c r="J794" i="2"/>
  <c r="J613" i="2"/>
  <c r="J373" i="2"/>
  <c r="J390" i="2"/>
  <c r="J458" i="2"/>
  <c r="J616" i="2"/>
  <c r="J644" i="2"/>
  <c r="J178" i="2"/>
  <c r="J231" i="2"/>
  <c r="J248" i="2"/>
  <c r="J274" i="2"/>
  <c r="J565" i="2"/>
  <c r="J45" i="2"/>
  <c r="J801" i="2"/>
  <c r="J612" i="2"/>
  <c r="J301" i="2"/>
  <c r="J397" i="2"/>
  <c r="J423" i="2"/>
  <c r="J443" i="2"/>
  <c r="J599" i="2"/>
  <c r="J625" i="2"/>
  <c r="J213" i="2"/>
  <c r="J814" i="2"/>
  <c r="J833" i="2"/>
  <c r="J255" i="2"/>
  <c r="J749" i="2"/>
  <c r="J566" i="2"/>
  <c r="J151" i="2"/>
  <c r="J416" i="2"/>
  <c r="J773" i="2"/>
  <c r="J772" i="2"/>
  <c r="J226" i="2"/>
  <c r="J253" i="2"/>
  <c r="J530" i="2"/>
  <c r="J568" i="2"/>
  <c r="J257" i="2"/>
  <c r="J810" i="2"/>
  <c r="J607" i="2"/>
  <c r="J327" i="2"/>
  <c r="J422" i="2"/>
  <c r="J441" i="2"/>
  <c r="J684" i="2"/>
  <c r="J660" i="2"/>
  <c r="J184" i="2"/>
  <c r="J280" i="2"/>
  <c r="J244" i="2"/>
  <c r="J549" i="2"/>
  <c r="J555" i="2"/>
  <c r="J181" i="2"/>
  <c r="J832" i="2"/>
  <c r="J559" i="2"/>
  <c r="J115" i="2"/>
  <c r="J400" i="2"/>
  <c r="J340" i="2"/>
  <c r="J448" i="2"/>
  <c r="J611" i="2"/>
  <c r="J662" i="2"/>
  <c r="J742" i="2"/>
  <c r="J513" i="2"/>
  <c r="J425" i="2"/>
  <c r="J603" i="2"/>
  <c r="J101" i="2"/>
  <c r="J347" i="2"/>
  <c r="J471" i="2"/>
  <c r="J649" i="2"/>
  <c r="J175" i="2"/>
  <c r="J219" i="2"/>
  <c r="J266" i="2"/>
  <c r="J546" i="2"/>
  <c r="J702" i="2"/>
  <c r="J531" i="2"/>
  <c r="J800" i="2"/>
  <c r="J149" i="2"/>
  <c r="J364" i="2"/>
  <c r="J368" i="2"/>
  <c r="J486" i="2"/>
  <c r="J681" i="2"/>
  <c r="J645" i="2"/>
  <c r="J168" i="2"/>
  <c r="J221" i="2"/>
  <c r="J269" i="2"/>
  <c r="J534" i="2"/>
  <c r="J704" i="2"/>
  <c r="J256" i="2"/>
  <c r="J786" i="2"/>
  <c r="J463" i="2"/>
  <c r="J310" i="2"/>
  <c r="J392" i="2"/>
  <c r="J378" i="2"/>
  <c r="J447" i="2"/>
  <c r="J683" i="2"/>
  <c r="J682" i="2"/>
  <c r="J183" i="2"/>
  <c r="J200" i="2"/>
  <c r="J516" i="2"/>
  <c r="T25" i="4"/>
  <c r="L25" i="4"/>
  <c r="R25" i="4"/>
  <c r="P25" i="4"/>
  <c r="D25" i="4"/>
  <c r="AF14" i="4"/>
  <c r="AF25" i="4" s="1"/>
  <c r="J838" i="2" l="1"/>
  <c r="M25" i="4"/>
  <c r="O25" i="4"/>
  <c r="U25" i="4"/>
  <c r="Q25" i="4"/>
  <c r="S25" i="4"/>
  <c r="AE14" i="4"/>
  <c r="AE25" i="4" s="1"/>
  <c r="F25" i="4"/>
  <c r="E16" i="4"/>
  <c r="E17" i="4"/>
  <c r="E10" i="4"/>
  <c r="E20" i="4"/>
  <c r="E13" i="4"/>
  <c r="E11" i="4"/>
  <c r="D26" i="4"/>
  <c r="E22" i="4"/>
  <c r="E24" i="4"/>
  <c r="E15" i="4"/>
  <c r="E23" i="4"/>
  <c r="E18" i="4"/>
  <c r="Y25" i="4"/>
  <c r="E19" i="4"/>
  <c r="E12" i="4"/>
  <c r="E21" i="4"/>
  <c r="W25" i="4"/>
  <c r="I25" i="4"/>
  <c r="AC25" i="4"/>
  <c r="AA25" i="4"/>
  <c r="K25" i="4"/>
  <c r="E14" i="4"/>
  <c r="E25" i="4" l="1"/>
  <c r="E26" i="4" s="1"/>
  <c r="F26" i="4"/>
  <c r="G25" i="4"/>
  <c r="G26" i="4" l="1"/>
  <c r="H26" i="4"/>
  <c r="J26" i="4" l="1"/>
  <c r="I26" i="4"/>
  <c r="K26" i="4" l="1"/>
  <c r="L26" i="4"/>
  <c r="M26" i="4" l="1"/>
  <c r="N26" i="4"/>
  <c r="P26" i="4" l="1"/>
  <c r="O26" i="4"/>
  <c r="Q26" i="4" l="1"/>
  <c r="R26" i="4"/>
  <c r="S26" i="4" l="1"/>
  <c r="T26" i="4"/>
  <c r="V26" i="4" l="1"/>
  <c r="U26" i="4"/>
  <c r="W26" i="4" l="1"/>
  <c r="X26" i="4"/>
  <c r="Y26" i="4" l="1"/>
  <c r="Z26" i="4"/>
  <c r="AA26" i="4" l="1"/>
  <c r="AB26" i="4"/>
  <c r="AC26" i="4" s="1"/>
</calcChain>
</file>

<file path=xl/sharedStrings.xml><?xml version="1.0" encoding="utf-8"?>
<sst xmlns="http://schemas.openxmlformats.org/spreadsheetml/2006/main" count="2420" uniqueCount="1276">
  <si>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</si>
  <si>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</si>
  <si>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</si>
  <si>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</si>
  <si>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</si>
  <si>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</si>
  <si>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</si>
  <si>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</si>
  <si>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</si>
  <si>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</si>
  <si>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</si>
  <si>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</si>
  <si>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</si>
  <si>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</si>
  <si>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</si>
  <si>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</si>
  <si>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</si>
  <si>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</si>
  <si>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</si>
  <si>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</si>
  <si>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</si>
  <si>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</si>
  <si>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</si>
  <si>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</si>
  <si>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</si>
  <si>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</si>
  <si>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</si>
  <si>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</si>
  <si>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Mês 04</t>
  </si>
  <si>
    <t>Mês 05</t>
  </si>
  <si>
    <t>______________________________________________</t>
  </si>
  <si>
    <t>Secretaria Municipal de Planejamento - Porto União - SC</t>
  </si>
  <si>
    <t>1.1</t>
  </si>
  <si>
    <t>1.2</t>
  </si>
  <si>
    <t>m²</t>
  </si>
  <si>
    <t>unid.</t>
  </si>
  <si>
    <t>m³</t>
  </si>
  <si>
    <t>m</t>
  </si>
  <si>
    <t>Lastro de brita 2, apiloado manualmente, espessura média 5cm</t>
  </si>
  <si>
    <t>Fornecimento e instalação tubo PVC soldável água fria DN 25mm - inclusive conexões</t>
  </si>
  <si>
    <t>% DO TOTAL</t>
  </si>
  <si>
    <t>SERVIÇOS PRELIMINARES</t>
  </si>
  <si>
    <t>Chapisco de aderência, traço 1:3 espessura 5mm, preparo em betoneira</t>
  </si>
  <si>
    <t>Pintura para paredes internas em tinta látex acrílica semi-brilho 1ª linha, duas demãos, cor branca</t>
  </si>
  <si>
    <t>PREVENÇÃO CONTRA INCÊNDIO</t>
  </si>
  <si>
    <t>Extintor PQS 4kg 20 BC</t>
  </si>
  <si>
    <t>INSTALAÇÕES ELÉTRICAS</t>
  </si>
  <si>
    <t>9.0</t>
  </si>
  <si>
    <t>10.0</t>
  </si>
  <si>
    <t>11.0</t>
  </si>
  <si>
    <t>12.0</t>
  </si>
  <si>
    <t>UNID.</t>
  </si>
  <si>
    <t>Total item 1.0</t>
  </si>
  <si>
    <t>Total item 5.0</t>
  </si>
  <si>
    <t>Torneira cromada de mesa para lavatório temporizada pressão com alavanca de acionamento</t>
  </si>
  <si>
    <t>Mês 06</t>
  </si>
  <si>
    <t>Cronograma Físico Financeiro</t>
  </si>
  <si>
    <t>Mês 07</t>
  </si>
  <si>
    <t>Mês 08</t>
  </si>
  <si>
    <t>5.2</t>
  </si>
  <si>
    <t>Rufo em chapa de aço galvanizado número 24, corte de 25cm, incluso transporte vertical</t>
  </si>
  <si>
    <t>Caixa sifonada PVC 100x100x50mm com grelha redonda branca, fornecimento e instalação</t>
  </si>
  <si>
    <t>Impermeabilização de estruturas enterradas, com tinta asfáltica, duas demãos</t>
  </si>
  <si>
    <t>Fornecimento/instalação lona plástica preta, para impermeabilização, espessura 150 micras</t>
  </si>
  <si>
    <t>5.1</t>
  </si>
  <si>
    <t>5.5</t>
  </si>
  <si>
    <t>5.6</t>
  </si>
  <si>
    <t>Total item 2.0</t>
  </si>
  <si>
    <t>ALVENARIA</t>
  </si>
  <si>
    <t>Total item 3.0</t>
  </si>
  <si>
    <t>ÁREAS INTERNAS</t>
  </si>
  <si>
    <t>COBERTURA</t>
  </si>
  <si>
    <t>SERVIÇOS COMPLEMENTARES</t>
  </si>
  <si>
    <t>Placa de inauguração em bronze nas medidas 0,40x0,60m</t>
  </si>
  <si>
    <t>Limpeza final da obra</t>
  </si>
  <si>
    <t>5.3</t>
  </si>
  <si>
    <t>5.4</t>
  </si>
  <si>
    <t xml:space="preserve"> REVESTIMENTOS DE FACHADAS E PLATIBANDA</t>
  </si>
  <si>
    <t>Total item 7.0</t>
  </si>
  <si>
    <t>Fabiana Weber Zabczuk</t>
  </si>
  <si>
    <t>Arquiteta e Urbanista - CAU A60307-4</t>
  </si>
  <si>
    <t>Total item 10.0</t>
  </si>
  <si>
    <t>Caixa d'água em polietileno, 1000 litros, com acessórios</t>
  </si>
  <si>
    <t>Registro de gaveta bruto, latão, roscável, 1/2", fornecido e instalado</t>
  </si>
  <si>
    <t>Fornecimento e instalação tubo PVC soldável água fria DN 40mm - inclusive conexões</t>
  </si>
  <si>
    <t>Registro de gaveta bruto, latão, roscável, 1/2", com acabamento e canopla cromados, fornecido e instalado em ramal de água</t>
  </si>
  <si>
    <t>Total item 8.0</t>
  </si>
  <si>
    <t>INSTALAÇÕES DE ESGOTO</t>
  </si>
  <si>
    <t>Tubo PVC, esgoto predial, DN 40 mm, fornecido e instalado em ramal de esgoto sanitário, inclusive conexões</t>
  </si>
  <si>
    <t>Tubo PVC, esgoto predial, DN 50 mm, fornecido e instalado em ramal de esgoto sanitário, inclusive conexões</t>
  </si>
  <si>
    <t>Tubo PVC, esgoto predial, DN 100 mm, fornecido e instalado em ramal de esgoto sanitário, inclusive conexões</t>
  </si>
  <si>
    <t>INSTALAÇÕES DE ÁGUAS PLUVIAIS</t>
  </si>
  <si>
    <t>Total item 9.0</t>
  </si>
  <si>
    <t>12.1</t>
  </si>
  <si>
    <t>12.3</t>
  </si>
  <si>
    <t>PREÇO UNITÁRIO</t>
  </si>
  <si>
    <t>Tábua de madeira aparelhada 2,5x25cm, maçaranduba, angelim ou equivalente, para apoio da caixa d'água</t>
  </si>
  <si>
    <t>Arquiteta e Urbanista CAU A60307-4</t>
  </si>
  <si>
    <t>REVESTIMENTOS DE FACHADAS E PLATIBANDA</t>
  </si>
  <si>
    <t>INSTALAÇÕES HIDRÁULICAS</t>
  </si>
  <si>
    <t>1.3</t>
  </si>
  <si>
    <t>PLANILHA DE ORÇAMENTO</t>
  </si>
  <si>
    <t>Aplicação e lixamento de massa látex em paredes, duas demãos</t>
  </si>
  <si>
    <t>BANHEIRO PCD</t>
  </si>
  <si>
    <t>BANHEIRO MENINAS</t>
  </si>
  <si>
    <t>BANHEIRO MENINOS</t>
  </si>
  <si>
    <t>36796-I</t>
  </si>
  <si>
    <t>Escavação manual para blocos de fundação e vigas baldrames</t>
  </si>
  <si>
    <t>Alvenaria de vedação de blocos cerâmicos furados na horizontal de 9x14x19cm (espessura 9cm), argamassa de assentamento com preparo manual, junta 1cm (somente para platibanda)</t>
  </si>
  <si>
    <t>Calha em chapa de aço galvanizado número 24, desenvolvimento de 50cm, incluso transporte vertical</t>
  </si>
  <si>
    <t>Registro de pressão bruto, latão, roscável, 1/2", com acabamento e canopla cromados, fornecido e instalado em ramal de água</t>
  </si>
  <si>
    <t>ÁREA EXTERNA</t>
  </si>
  <si>
    <t>/m²</t>
  </si>
  <si>
    <t>Tubo PVC, água pluvial, DN 100mm, fornecido e instalado em condutores verticais de águas pluviais - embutidos</t>
  </si>
  <si>
    <t>Mês 09</t>
  </si>
  <si>
    <t>Mês 10</t>
  </si>
  <si>
    <t>Mês 11</t>
  </si>
  <si>
    <t>Mês 12</t>
  </si>
  <si>
    <t>Tubo PVC, água pluvial, DN 75mm, para instalação em extravasores junto às calhas</t>
  </si>
  <si>
    <t>Execução de passeio (calçada e rampa) em concreto usinado, acabamento alisado, espessura 6cm, não armado</t>
  </si>
  <si>
    <t>Tubo PVC, esgoto predial, DN 150 mm, fornecido e instalado em ramal de esgoto sanitário, inclusive conexões</t>
  </si>
  <si>
    <t>COTAÇÃO</t>
  </si>
  <si>
    <t xml:space="preserve">                                                                           </t>
  </si>
  <si>
    <t>REFORMA E AMPLIAÇÃO DO NÚCLEO DE EDUCAÇÃO INFANTIL TREM DA ALEGRIA</t>
  </si>
  <si>
    <t>RUA FRANCISCO PILUSKI, 258, BAIRRO VICE-KING, PORTO UNIÃO - SC</t>
  </si>
  <si>
    <t>DEMOLIÇÕES GERAIS</t>
  </si>
  <si>
    <t>4813-I</t>
  </si>
  <si>
    <t>Placa de obra em chapa galvanizada adesivada</t>
  </si>
  <si>
    <t>Tapume em chapa de compensado resinado, espessura 10 mm para isolamento da obra</t>
  </si>
  <si>
    <t>Remoção de paredes de madeira, de forma manual, sem reaproveitamento</t>
  </si>
  <si>
    <t>Remoção de portas, de forma manual, sem reaproveitamento</t>
  </si>
  <si>
    <t>Remoção de janelas, de forma manual, sem reaproveitamento</t>
  </si>
  <si>
    <t>Remoção de telhas de fibrocimento da edificação existente, e das telhas metálicas da cobertura posterior, de forma manual</t>
  </si>
  <si>
    <t>Demolição de lajes, de forma manual, sem reaproveitamento</t>
  </si>
  <si>
    <t>Demolição de pilares, vigas e beirais em concreto armado, de forma manual, sem reaproveitamento</t>
  </si>
  <si>
    <t>Demolição de alvenaria de blocos furados, de forma manual, sem reaproveitamento</t>
  </si>
  <si>
    <t>Remoção de forros de PVC de forma manual, sem reaproveitamento</t>
  </si>
  <si>
    <t>Demolição de revestimento cerâmico de paredes, de forma manual, sem reaproveitamento</t>
  </si>
  <si>
    <t>Demolição de revestimento cerâmico de pisos, de forma manual, sem reaproveitamento</t>
  </si>
  <si>
    <t>PREÇO UNIT +BDI 29,07%</t>
  </si>
  <si>
    <t>CUSTO TOTAL DA OBRA COM BDI DE 29,07%</t>
  </si>
  <si>
    <t>SALA DE AULA 01</t>
  </si>
  <si>
    <t>Subtotal item 5.1</t>
  </si>
  <si>
    <t>5.1.1</t>
  </si>
  <si>
    <t>Retiradas e demolições</t>
  </si>
  <si>
    <t>Remoção de cabos elétricos, de forma manual, sem reaproveitamento</t>
  </si>
  <si>
    <t>5.1.2</t>
  </si>
  <si>
    <t>Pisos</t>
  </si>
  <si>
    <t>Soleira em granito, largura 15 cm, espessura 2,0 cm, na cor cinza andorinha</t>
  </si>
  <si>
    <t>5.1.3</t>
  </si>
  <si>
    <t>Paredes</t>
  </si>
  <si>
    <t>Retirada de pisos em taco, de forma manual, sem reaproveitamento</t>
  </si>
  <si>
    <t>5.1.4</t>
  </si>
  <si>
    <t>Esquadrias</t>
  </si>
  <si>
    <t>Emboço em argamassa traço 1:2:8, preparo mecânico com betoneira 400L, aplicado manualmente, espessura de 20 mm, com execução de taliscas</t>
  </si>
  <si>
    <t>Aplicação de fundo selador acrílico em paredes, uma demão</t>
  </si>
  <si>
    <t>Aplicação de fundo selador acrílico em teto, uma demão</t>
  </si>
  <si>
    <t>Pintura para teto em tinta látex acrílica semi-brilho 1ª linha, duas demãos, cor branca</t>
  </si>
  <si>
    <t>Aplicação e lixamento de massa látex em teto, uma demão</t>
  </si>
  <si>
    <t>Peitoril em granito, largura 15 cm, espessura 2,0 cm, na cor cinza andorinha</t>
  </si>
  <si>
    <t>J02 em vidro temperado 8 mm incolor, vidro fixo na parte inferior e basculante na parte superior, estrutura em alumínio branco, nas dimensões 0,72x1,45 m, 2 unidades</t>
  </si>
  <si>
    <t>J01 em vidro temperado 8 mm incolor, 4 folhas, 2 fixas e 2 móveis, estrutura em alumínio branco, nas dimensões 2,30x1,45 m, 2 unidades</t>
  </si>
  <si>
    <t>Subtotal item 5.2</t>
  </si>
  <si>
    <t>Contrapiso em argamassa traço 1:4 (cimento e areia), preparo mecânico com betoneira 400 L, aplicado em áreas secas sobre laje, aderido, espessura 2 cm</t>
  </si>
  <si>
    <t>5.2.1</t>
  </si>
  <si>
    <t>Forros</t>
  </si>
  <si>
    <t>5.1.5</t>
  </si>
  <si>
    <t>Alvenaria  de vedação de blocos cerâmicos furados na horizontal de 14x9x19cm (espessura 14cm, bloco deitado), argamassa de assentamento com preparo manual, junta 1cm, para nova parede e fechamento de janela</t>
  </si>
  <si>
    <t>Revestimento cerâmico para paredes internas e  com placas de dimensões 33x45cm na cor branca para paredes de piso a teto, incluso 10% para recortes, incluindo rejuntamento</t>
  </si>
  <si>
    <t>5.2.2</t>
  </si>
  <si>
    <t>5.2.3</t>
  </si>
  <si>
    <t>5.2.4</t>
  </si>
  <si>
    <t>5.2.5</t>
  </si>
  <si>
    <t>J03 em vidro temperado 8 mm jateado, 2 basculantes lado a lado, estrutura em alumínio branco, nas dimensões 0,98x0,60 m, 1 unidade</t>
  </si>
  <si>
    <t>5.2.6</t>
  </si>
  <si>
    <t>Louças, metais e acessórios</t>
  </si>
  <si>
    <t>Vaso sanitário sifonado com caixa acoplada em louça branca, padrão médio, acionamento da descarga por alavanca, incluso engate flexível em inox - fornecimento e instalação</t>
  </si>
  <si>
    <t>Lavatório em louça branca suspenso, com acabamento de coluna suspenso em louça, 45x55 cm ou equivalente, padrão médio, incluso sifão em PVC, válvula e engate flexível</t>
  </si>
  <si>
    <t>Chuveiro elétrico tipo ducha com ducha manual, equipado com desviador para ducha manual, para controle total da ducha através da ducha manual</t>
  </si>
  <si>
    <t>Barra de apoio reta, em aço inox polido, comprimento 60 cm, diâmetro mínimo 3 cm, fixada na parede - fornecimento e instalação</t>
  </si>
  <si>
    <t>Barra de apoio reta, em aço inox polido, comprimento 70 cm, diâmetro mínimo 3 cm, fixada na parede - fornecimento e instalação</t>
  </si>
  <si>
    <t>Barra de apoio reta, em aço inox polido, comprimento 80 cm, diâmetro mínimo 3 cm, fixada na parede - fornecimento e instalação</t>
  </si>
  <si>
    <t>Banco articulado, em aço inox, para PCD, nas dimensões 70x45 cm, fixado na parede, fornecimento e instalação</t>
  </si>
  <si>
    <t>Barra de apoio lateral para lavatório, comprimento de 30 cm, altura mínima de 10 cm, diâmetro da barra de 3 cm, fixada na parede, fornecimento e instalação</t>
  </si>
  <si>
    <t>SALA DE AULA 02</t>
  </si>
  <si>
    <t>Subtotal item 5.3</t>
  </si>
  <si>
    <t>LAVANDERIA</t>
  </si>
  <si>
    <t>Subtotal item 5.4</t>
  </si>
  <si>
    <t>Subtotal item 5.5</t>
  </si>
  <si>
    <t>SALA DE AULA 03 E SALA DE HORA ATIVIDADE</t>
  </si>
  <si>
    <t>CIRCULAÇÃO</t>
  </si>
  <si>
    <t>Subtotal item 5.6</t>
  </si>
  <si>
    <t>5.7</t>
  </si>
  <si>
    <t>ESPERA - ATENDIMENTO/SECRETARIA</t>
  </si>
  <si>
    <t>Subtotal item 5.7</t>
  </si>
  <si>
    <t>DIREÇÃO</t>
  </si>
  <si>
    <t>5.8</t>
  </si>
  <si>
    <t>Subtotal item 5.8</t>
  </si>
  <si>
    <t>5.9</t>
  </si>
  <si>
    <t>SALA DE REUNIÕES</t>
  </si>
  <si>
    <t>Subtotal item 5.9</t>
  </si>
  <si>
    <t>5.10</t>
  </si>
  <si>
    <t>ARQUIVO</t>
  </si>
  <si>
    <t>Subtotal item 5.10</t>
  </si>
  <si>
    <t>5.11</t>
  </si>
  <si>
    <t>Subtotal item 5.11</t>
  </si>
  <si>
    <t>5.12</t>
  </si>
  <si>
    <t>Subtotal item 5.12</t>
  </si>
  <si>
    <t>5.13</t>
  </si>
  <si>
    <t>COZINHA</t>
  </si>
  <si>
    <t>Subtotal item 5.13</t>
  </si>
  <si>
    <t>SOLÁRIO</t>
  </si>
  <si>
    <t>DESPENSA</t>
  </si>
  <si>
    <t>5.14</t>
  </si>
  <si>
    <t>Subtotal item 5.14</t>
  </si>
  <si>
    <t>5.15</t>
  </si>
  <si>
    <t>Subtotal item 5.15</t>
  </si>
  <si>
    <t>REFEITÓRIO</t>
  </si>
  <si>
    <t>5.16</t>
  </si>
  <si>
    <t>Subtotal item 5.16</t>
  </si>
  <si>
    <t>5.7.1</t>
  </si>
  <si>
    <t>Rodapé cerâmico nas dimensões 7x45cm, padrão médio, assentado com argamassa colante, incluso rejunte, cor bege claro</t>
  </si>
  <si>
    <t>Piso de concreto moldado in loco, usinado, acabamento convencional, não armado, espessura 5 cm</t>
  </si>
  <si>
    <t>5.7.2</t>
  </si>
  <si>
    <t>5.7.3</t>
  </si>
  <si>
    <t>Granito para bancadas em duas alturas no atendimento, granito na cor andorinha, espessura 2,5 cm, conforme dimensões de projeto (altura 1 com 0,84x0,35 m e altura 2 com 1,24x0,35 m)</t>
  </si>
  <si>
    <t>Forro em PVC liso, branco, régua de 20 cm de largura, com espessura de 8 a 10 mm, comprimento de 6 m; incluso entarugamento metálico com espaçamento máximo de 40 em 40 cm</t>
  </si>
  <si>
    <t>Acabamentos para forro (roda-forro em perfil plástico)</t>
  </si>
  <si>
    <t>5.7.4</t>
  </si>
  <si>
    <t>P09 em vidro temperado 10 mm incolor, de abrir, estrutura em alumínio branco, nas dimensões 1,00x2,10 m, 1 unidade</t>
  </si>
  <si>
    <t>P07 em vidro temperado 10 mm incolor, de abrir (área de abertura da porta de 0,90 m + fechamentos laterais), estrutura em alumínio branco, nas dimensões 1,52x2,10 m, 1 unidade</t>
  </si>
  <si>
    <t>J10 em vidro temperado 8 mm incolor, 4 folhas, 2 fixas e 2 móveis, estrutura em alumínio branco, nas dimensões 2,00x1,10 m, 1 unidade</t>
  </si>
  <si>
    <t>5.8.1</t>
  </si>
  <si>
    <t>5.8.2</t>
  </si>
  <si>
    <t>5.8.3</t>
  </si>
  <si>
    <t>5.8.4</t>
  </si>
  <si>
    <t>5.9.1</t>
  </si>
  <si>
    <t>5.9.2</t>
  </si>
  <si>
    <t>5.9.3</t>
  </si>
  <si>
    <t>5.9.4</t>
  </si>
  <si>
    <t>P08 em vidro temperado 10 mm incolor, de correr, duas folhas, estrutura em alumínio branco, nas dimensões 1,65x2,10 m, 1 unidade</t>
  </si>
  <si>
    <t>5.10.1</t>
  </si>
  <si>
    <t>5.10.2</t>
  </si>
  <si>
    <t>5.10.3</t>
  </si>
  <si>
    <t>5.10.4</t>
  </si>
  <si>
    <t>J09 em vidro temperado 8 mm incolor, 3 basculantes, estrutura em alumínio branco, nas dimensões 1,50x0,60 m, 1 unidade</t>
  </si>
  <si>
    <t>5.11.1</t>
  </si>
  <si>
    <t>5.11.2</t>
  </si>
  <si>
    <t>5.11.3</t>
  </si>
  <si>
    <t>5.11.4</t>
  </si>
  <si>
    <t>5.11.5</t>
  </si>
  <si>
    <t>Divisórias em granito</t>
  </si>
  <si>
    <t>5.11.6</t>
  </si>
  <si>
    <t>Alvenaria  de vedação de blocos cerâmicos furados na horizontal de 9x14x19cm (espessura 9cm), argamassa de assentamento com preparo manual, junta 1cm, para base dos lavatórios</t>
  </si>
  <si>
    <t>Emboço em argamassa traço 1:2:8, preparo mecânico com betoneira 400L, aplicado manualmente em teto, espessura de 20 mm, com execução de taliscas</t>
  </si>
  <si>
    <t>Chapisco de aderência, aplicado em teto, com desempenadeira dentada, traço 1:3 espessura 5mm, preparo em betoneira</t>
  </si>
  <si>
    <t>J11 em vidro temperado 8 mm jateado, 3 basculantes, estrutura em alumínio branco, nas dimensões 1,50x0,60 m, 1 unidade</t>
  </si>
  <si>
    <t>Divisórias em granito cinza andorinha, com duas faces polidas, espessura 3 cm, assentado com argamassa 1:4 (cimento e areia), arremate com cimento branco, conforme projeto</t>
  </si>
  <si>
    <t>P03 em alumínio tipo veneziana, de abrir, nas dimensões de 0,80x2,10m, cor branca, 1 unidade</t>
  </si>
  <si>
    <t>P04 em alumínio tipo veneziana, de abrir, nas dimensões de 0,60x1,35m, cor branca, 2 unidades</t>
  </si>
  <si>
    <t>Mictório sifonado em louça branca, padrão médio, inclui válvula de descarga para mictório, fornecimento e instalação</t>
  </si>
  <si>
    <t>Torneira cromada de mesa para lavatório temporizada pressão</t>
  </si>
  <si>
    <t>Cuba de embutir oval em louça branca, 35x50 cm ou equivalente, incluso válvula em metal cromado e sifão flexível em PVC, fornecimento e instalação</t>
  </si>
  <si>
    <t>Granito para bancada do lavatório, incluindo rodapia e saia, granito na cor andorinha, espessura 2,5 cm, conforme dimensões de projeto (previsto saia de 10 cm e rodapia de 10 cm)</t>
  </si>
  <si>
    <t>P04 em alumínio tipo veneziana, de abrir, nas dimensões de 0,60x1,35m, cor branca, 4 unidades</t>
  </si>
  <si>
    <t>Picoteamento de parede para colocação de revestimentos cerâmicos</t>
  </si>
  <si>
    <t>5.12.1</t>
  </si>
  <si>
    <t>5.13.2</t>
  </si>
  <si>
    <t>5.12.2</t>
  </si>
  <si>
    <t>5.12.3</t>
  </si>
  <si>
    <t>5.12.4</t>
  </si>
  <si>
    <t>5.12.5</t>
  </si>
  <si>
    <t>5.12.6</t>
  </si>
  <si>
    <t>5.13.1</t>
  </si>
  <si>
    <t>5.13.3</t>
  </si>
  <si>
    <t>5.13.4</t>
  </si>
  <si>
    <t>Bancadas e acessórios</t>
  </si>
  <si>
    <t>5.13.5</t>
  </si>
  <si>
    <t>P05 em alumínio tipo veneziana, de correr, nas dimensões de 0,80x2,10m, cor branca, 1 unidade</t>
  </si>
  <si>
    <t>J07 em vidro temperado 8 mm incolor, 4 folhas, 2 fixas e 2 móveis, estrutura em alumínio branco, nas dimensões 1,50x1,10 m, 1 unidade</t>
  </si>
  <si>
    <t>Grade para ventilação permanente 10 cm de diâmetro</t>
  </si>
  <si>
    <t>Cuba de embutir retangular de aço inoxidável, de dimensões 0,46x0,30x0,20 m ou equivalente, incluso válvula, fornecimento e instalação em bancada de granito</t>
  </si>
  <si>
    <t>Granito para bancada das cubas, incluindo rodapia e saia, granito na cor andorinha, espessura 2,5 cm, conforme dimensões de projeto (previsto saia de 6 cm e rodapia de 7 cm)</t>
  </si>
  <si>
    <t>Granito para bancada da ilha central, incluindo saia, granito na cor andorinha, espessura 2,5 cm, conforme dimensões de projeto (previsto saia de 6 cm)</t>
  </si>
  <si>
    <t>Granito para bancada junto ao passa pratos, incluindo rodapia e saia, granito na cor andorinha, espessura 2,5 cm, conforme dimensões de projeto (previsto saia de 6 cm e rodapia de 7 cm)</t>
  </si>
  <si>
    <t>Calha em chapa de aço galvanizado número 24, desenvolvimento de 33cm, incluso transporte vertical</t>
  </si>
  <si>
    <t>Estrutura metálica para cobertura em policarbonato, composta por ripas, caibros e terças, para suporte de estrutura em policarbonato apoiada em muro lateral</t>
  </si>
  <si>
    <t>Alvenaria  de vedação de blocos cerâmicos furados na horizontal de 14x9x19cm (espessura 14cm, bloco deitado), argamassa de assentamento com preparo manual, junta 1cm (para paredes)</t>
  </si>
  <si>
    <t>Alvenaria  de vedação de blocos cerâmicos furados na horizontal de 14x9x19cm (espessura 14cm, bloco deitado), argamassa de assentamento com preparo manual, junta 1cm (para paredes do bloco da caixa d'água)</t>
  </si>
  <si>
    <t xml:space="preserve">COTAÇÃO </t>
  </si>
  <si>
    <t>Placa indicativa de saída, fotoluminescente, nas dimensões 25x16cm, conforme padrão CBMSC, fotoluminescente</t>
  </si>
  <si>
    <t>Placa de saída de emergência, fotoluminescente, nas dimensões 25x16cm, conforme padrão CBMSC, fotoluminescente</t>
  </si>
  <si>
    <t>INSTALAÇÕES LÓGICAS</t>
  </si>
  <si>
    <t>Eng. Eletricista</t>
  </si>
  <si>
    <t>Subtotal item 8.1</t>
  </si>
  <si>
    <t>Rack de lógica 19" x 8U - tipo parede - fornecimento e instalação - com no-break, switch 10/100/1000, conectores, e demais acessórios</t>
  </si>
  <si>
    <t>Caixa retangular 4" X 2", PVC, instalada em parede - fornecimento e instalação</t>
  </si>
  <si>
    <t>Cabo eletrônico categoria 6, instalado em edificação institucional - fornecimento e instalação</t>
  </si>
  <si>
    <t>Caixa de passagem 30x30x40 com tampa e dreno brita</t>
  </si>
  <si>
    <t>Eletroduto flexível corrugado, PVC, DN 25 mm (3/4"), para circuitos terminais, instalado em parede - fornecimento e instalação</t>
  </si>
  <si>
    <t>INSTALAÇÕES ELÉTRICAS E DE LÓGICA</t>
  </si>
  <si>
    <t>Fios e cabos</t>
  </si>
  <si>
    <t>Cabo de cobre flexível isolado, 1,5 mm², anti chama 450/750 V, para circuitos terminais - fornecimento e instalação</t>
  </si>
  <si>
    <t>Cabo de cobre flexível isolado, 2,5 mm², anti-chama 450/750 V, para circuitos terminais - fornecimento e instalação</t>
  </si>
  <si>
    <t>Cabo de cobre flexível isolado, 6 mm², anti-chama 450/750 V, para circuitos terminais - fornecimento e instalação</t>
  </si>
  <si>
    <t>Cabo de cobre flexível isolado, 4 mm², anti-chama 450/750 V, para circuitos terminais - fornecimento e instalação</t>
  </si>
  <si>
    <t>Cabo de cobre flexível isolado, 16 mm², anti-chama 0,6/1,0 KV, para distribuição - fornecimento e instalação</t>
  </si>
  <si>
    <t>Cabo de cobre flexível isolado, 35 mm², anti-chama 0,6/1,0 KV, para distribuição - fornecimento e instalação</t>
  </si>
  <si>
    <t>Cabo de cobre flexível isolado, 70 mm², anti-chama 0,6/1,0 KV, para distribuição - fornecimento e instalação</t>
  </si>
  <si>
    <t>Disjuntores e dispositivos de proteção</t>
  </si>
  <si>
    <t>Disjuntor tripolar 63 A caixa moldada - fornecimento e instalação</t>
  </si>
  <si>
    <t>Disjuntor tripolar 125 A caixa moldada - fornecimento e instalação</t>
  </si>
  <si>
    <t>Interruptor tetrapolar DR (3x fase/neutro) 63 A</t>
  </si>
  <si>
    <t>Disjuntor bipolar tipo DIN, corrente nominal de 16A - fornecimento e instalação</t>
  </si>
  <si>
    <t>Disjuntor bipolar tipo DIN, corrente nominal de 20A - fornecimento e instalação</t>
  </si>
  <si>
    <t>Disjuntor bipolar tipo DIN, corrente nominal de 25A - fornecimento e instalação</t>
  </si>
  <si>
    <t>Disjuntor bipolar tipo DIN, corrente nominal de 32A - fornecimento e instalação</t>
  </si>
  <si>
    <t>Disjuntor monopolar tipo DIN, corrente nominal de 10A - fornecimento e instalação</t>
  </si>
  <si>
    <t>Disjuntor monoponar tipo DIN, corrente nominal de 16A - fornecimento e instalação</t>
  </si>
  <si>
    <t>Disjuntor monopolar tipo DIN, corrente nominal de 20A - fornecimento e instalação</t>
  </si>
  <si>
    <t>Lâmpadas e luminárias</t>
  </si>
  <si>
    <t>Luminária tipo calha c/ 2 lâmpadas tubulares 1,2 m LED - fornecimento e instalação 04_2020</t>
  </si>
  <si>
    <t>Luminária de emergência com 30 lâmpadas de LED de 2 W, sem reator - fornecimento e instalação</t>
  </si>
  <si>
    <t>Luminária tipo plafon, de sobrepor, LED 25 a 30 W - fornecimento e instalação (representativo)</t>
  </si>
  <si>
    <t>Luminária de emergência tipo bloco autônomo com 2 faróis, 1200 lumens</t>
  </si>
  <si>
    <t>Placas e módulos</t>
  </si>
  <si>
    <t>Eletrodutos</t>
  </si>
  <si>
    <t>Quadros de distribuição / Entrada de serviço</t>
  </si>
  <si>
    <t>Caixa octogonal 3" X 3", PVC, instalada em laje - fornecimento e instalação</t>
  </si>
  <si>
    <t>Interruptor paralelo (1 módulo), 10A/250V, incluindo suporte e placa - fornecimento e instalação</t>
  </si>
  <si>
    <t>Interruptor paralelo (2 módulos), 10A/250V, incluindo suporte e placa - fornecimento e instalação</t>
  </si>
  <si>
    <t>Interruptor paralelo (3 módulos), 10A/250V, incluindo suporte e placa - fornecimento e instalação</t>
  </si>
  <si>
    <t>Interruptor simples (1 módulo) com interruptor paralelo (1 módulo), 10A/250V, incluindo suporte e placa - fornecimento e instalação</t>
  </si>
  <si>
    <t>Interruptor simples (1 módulo), 10A/250V, incluindo suporte e placa - fornecimento e instalação</t>
  </si>
  <si>
    <t>Interruptor simples (2 módulos), 10A/250V, incluindo suporte e placa - fornecimento e instalação</t>
  </si>
  <si>
    <t>Interruptor simples (3 módulos), 10A/250V, incluindo suporte e placa - fornecimento e instalação</t>
  </si>
  <si>
    <t>Placa cega c/ furo (alta) - fornecimento e instalação</t>
  </si>
  <si>
    <t>Tomada baixa de embutir (2 módulos), 2P+T 10 A, incluindo suporte e placa - fornecimento e instalação</t>
  </si>
  <si>
    <t>Sensor de presença com fotocélula, fixação em parede - fornecimento e instalação</t>
  </si>
  <si>
    <t>Eletroduto flexível corrugado reforçado, PVC, DN 25 mm (3/4"), para circuitos terminais, instalado em forro - fornecimento e instalação</t>
  </si>
  <si>
    <t>Eletroduto flexível corrugado, PEAD, DN 63 (2")  - fornecimento e instalação</t>
  </si>
  <si>
    <t>Quadro de distribuição sob medida (representativo)</t>
  </si>
  <si>
    <t>MUROS</t>
  </si>
  <si>
    <t>Rufo tipo pingadeira sobre platibanda, em chapa de aço galvanizado número 24, incluso transporte vertical</t>
  </si>
  <si>
    <t>13.0</t>
  </si>
  <si>
    <t>14.0</t>
  </si>
  <si>
    <t>15.0</t>
  </si>
  <si>
    <t>14.1</t>
  </si>
  <si>
    <t>14.2</t>
  </si>
  <si>
    <t>14.3</t>
  </si>
  <si>
    <t>14.4</t>
  </si>
  <si>
    <t>14.5</t>
  </si>
  <si>
    <t>Total item 14.0</t>
  </si>
  <si>
    <t>Remoção de estrutura de cobertura da edificação existente e de toda a estrutura da área coberta posterior, de forma manual</t>
  </si>
  <si>
    <t>Demolição de fossa e filtro existentes</t>
  </si>
  <si>
    <t>Demolição de revestimento cerâmico de paredes que serão mantidas, de forma manual, sem reaproveitamento</t>
  </si>
  <si>
    <t>Aterro manual para ambientes internos, compactação mecanizada, espessura média de 15cm</t>
  </si>
  <si>
    <t>Remoção de louças, tanques e pias, de forma manual</t>
  </si>
  <si>
    <t>Porta de acesso ao telhado, em alumínio tipo veneziana, de abrir, nas dimensões de 0,70x1,00 m, cor natural, 1 unidade</t>
  </si>
  <si>
    <t>Demolição de calçadas em concreto, de forma manual, sem reaproveitamento</t>
  </si>
  <si>
    <t>t x km</t>
  </si>
  <si>
    <t>Carga, manobra e descarga de entulho em caminhão basculante 6 m³ - carga com escavadeira hidráulica</t>
  </si>
  <si>
    <t>Transporte de entulho com caminhão basculante de 6 m³, em via urbana pavimentada, dmt até 30 km</t>
  </si>
  <si>
    <t>Locação convencional de obra, através de gabarito de tábuas corridas pontaletadas a cada 2,00m</t>
  </si>
  <si>
    <t>5.3.1</t>
  </si>
  <si>
    <t>5.3.2</t>
  </si>
  <si>
    <t>5.3.3</t>
  </si>
  <si>
    <t>5.3.4</t>
  </si>
  <si>
    <t>5.3.5</t>
  </si>
  <si>
    <t>Tomadas médias e altas de embutir (2 módulos), 2P+T 20 A, incluindo suporte e placa - fornecimento e instalação</t>
  </si>
  <si>
    <t>Remoção de louças, de forma manual</t>
  </si>
  <si>
    <t>5.4.1</t>
  </si>
  <si>
    <t>5.4.2</t>
  </si>
  <si>
    <t>5.4.3</t>
  </si>
  <si>
    <t>5.4.4</t>
  </si>
  <si>
    <t>5.4.5</t>
  </si>
  <si>
    <t>5.4.6</t>
  </si>
  <si>
    <t>J04 em vidro temperado 8 mm incolor, basculante, estrutura em alumínio branco, nas dimensões 0,50x0,90 m, 1 unidade</t>
  </si>
  <si>
    <t>Chapisco de aderência, traço 1:3 espessura 5mm, preparo em betoneira para base do tanque</t>
  </si>
  <si>
    <t>Emboço em argamassa traço 1:2:8, preparo mecânico com betoneira 400L, aplicado manualmente, espessura de 20 mm  para base do tanque</t>
  </si>
  <si>
    <t>Revestimento cerâmico para paredes internas e  com placas de dimensões 33x45cm na cor branca para paredes de piso a teto, incluso 10% para recortes, incluindo rejuntamento  para base do tanque</t>
  </si>
  <si>
    <t>Reinstalação de tanque em inox sobre base em alvenaria, com área para acesso à sifões</t>
  </si>
  <si>
    <t>Torneira cromada de parede para tanques e para máquina de lavar, padrão médio, fornecimento e instalação</t>
  </si>
  <si>
    <t>5.6.1</t>
  </si>
  <si>
    <t>5.6.2</t>
  </si>
  <si>
    <t>5.6.3</t>
  </si>
  <si>
    <t>5.6.4</t>
  </si>
  <si>
    <t>Aplicação de fundo selador acrílico em teto, uma demão, incluindo vigas de teto</t>
  </si>
  <si>
    <t>Aplicação e lixamento de massa látex em teto, uma demão, incluindo vigas de teto</t>
  </si>
  <si>
    <t>Pintura para teto em tinta látex acrílica semi-brilho 1ª linha, duas demãos, cor branca, incluindo vigas de teto</t>
  </si>
  <si>
    <t>5.5.1</t>
  </si>
  <si>
    <t>Demolição de pisos em concreto, de forma manual, sem reaproveitamento</t>
  </si>
  <si>
    <t>Demolição de pisos em concreto, de forma manual, sem reaproveitamento, incluso remoção de camada de lastro</t>
  </si>
  <si>
    <t>Demolição de argamassa de emboço até altura de 1,00</t>
  </si>
  <si>
    <t>Pisos - geral</t>
  </si>
  <si>
    <t>Rodapé cerâmico nas dimensões 7x45cm, padrão médio, assentado com argamassa colante, incluso rejunte, cor bege claro (para sala de hora atividade)</t>
  </si>
  <si>
    <t>5.5.2</t>
  </si>
  <si>
    <t>Paredes - Sala 03</t>
  </si>
  <si>
    <t>5.5.3</t>
  </si>
  <si>
    <t>5.5.4</t>
  </si>
  <si>
    <t>Paredes - Sala de hora atividade</t>
  </si>
  <si>
    <t>Paredes -  Geral</t>
  </si>
  <si>
    <t>5.5.5</t>
  </si>
  <si>
    <t>Emboço em argamassa traço 1:2:8, preparo mecânico com betoneira 400L, aplicado manualmente, espessura de 20 mm, com execução de taliscas, incluindo aditivo impermeabilizante</t>
  </si>
  <si>
    <t>Piso de concreto moldado in loco, usinado, acabamento convencional, não armado, espessura 5 cm, incluindo aditivo impermeabilizante</t>
  </si>
  <si>
    <t>Parede com placas de gesso acartonado (drywall) para uso interno, com duas faces simples e estrutura metálica com guias duplas, com vãos</t>
  </si>
  <si>
    <t>Esquadrias - Sala 03</t>
  </si>
  <si>
    <t>Esquadrias - Sala de hora atividade</t>
  </si>
  <si>
    <t>J05 em vidro temperado 8 mm incolor, 4 folhas, 2 fixas e 2 móveis, estrutura em alumínio branco, nas dimensões 2,30x1,41 m, 2 unidades</t>
  </si>
  <si>
    <t>J06 em vidro temperado 8 mm incolor, 4 folhas, 2 fixas e 2 móveis, estrutura em alumínio branco, nas dimensões 1,54x1,20 m, 1 unidade</t>
  </si>
  <si>
    <t>5.5.6</t>
  </si>
  <si>
    <t>5.5.7</t>
  </si>
  <si>
    <t>5.5.8</t>
  </si>
  <si>
    <t>Total item 15.0</t>
  </si>
  <si>
    <t>FACHADAS</t>
  </si>
  <si>
    <t>6.1</t>
  </si>
  <si>
    <t>6.2</t>
  </si>
  <si>
    <t>PLATIBANDA</t>
  </si>
  <si>
    <t>Subtotal item 6.1</t>
  </si>
  <si>
    <t>Subtotal item 6.2</t>
  </si>
  <si>
    <t>Total item 6.0</t>
  </si>
  <si>
    <t>Chapisco de aderência, traço 1:3 espessura 5mm, preparo em betoneira (incluindo bloco da caixa d'água e platibanda por dentro e por fora)</t>
  </si>
  <si>
    <t>Pintura para paredes em tinta látex acrílica fosca 1ª linha, duas demãos, cor branco (incluindo bloco da caixa d'água e platibanda por dentro e por fora)</t>
  </si>
  <si>
    <t>Chapisco de aderência, traço 1:3 espessura 5mm, preparo em betoneira (toda a área de ampliação)</t>
  </si>
  <si>
    <t>Pintura para paredes em tinta látex acrílica fosca 1ª linha, duas demãos, cor branco (toda a fachada externa)</t>
  </si>
  <si>
    <t>Colocação de revestimento cerâmico 10x10cm, em degradê do azul escuro mais embaixo, passando pelo azul médio e chegando ao azul claro mais em cima, incluindo argamassa colante e rejunte de até 5mm na cor branca, altura média 1,40 m, ao redor de toda a edificação, incluso revestimento de todo o bloco da caixa d'água (na parte do bloco da caixa d'água, somente revestimento no azul escuro)</t>
  </si>
  <si>
    <t>Emboço em argamassa traço 1:2:8, preparo mecânico com betoneira 400L, aplicado manualmente, espessura de 20 mm, com execução de taliscas (toda a área de ampliação)</t>
  </si>
  <si>
    <t>Emboço em argamassa traço 1:2:8, preparo mecânico com betoneira 400L, aplicado manualmente, espessura de 20 mm, com execução de taliscas (incluindo bloco da caixa d'água e platibanda por dentro e por fora)</t>
  </si>
  <si>
    <t>Aplicação de fundo selador acrílico em paredes, uma demão (toda a fachada externa)</t>
  </si>
  <si>
    <t>Aplicação de fundo selador acrílico em paredes, uma demão (incluindo bloco da caixa d'água e platibanda por dentro e por fora)</t>
  </si>
  <si>
    <t>Aplicação manual de textura acrílica em paredes externas (toda a fachada externa)</t>
  </si>
  <si>
    <t>Aplicação manual de textura acrílica em paredes externas (incluindo bloco da caixa d'água e platibanda por dentro e por fora)</t>
  </si>
  <si>
    <t>5.14.1</t>
  </si>
  <si>
    <t>5.14.2</t>
  </si>
  <si>
    <t>5.14.3</t>
  </si>
  <si>
    <t>5.14.4</t>
  </si>
  <si>
    <t>5.15.1</t>
  </si>
  <si>
    <t>5.15.2</t>
  </si>
  <si>
    <t>5.15.3</t>
  </si>
  <si>
    <t>5.15.4</t>
  </si>
  <si>
    <t>5.15.5</t>
  </si>
  <si>
    <t>5.15.6</t>
  </si>
  <si>
    <t>Bebedouro</t>
  </si>
  <si>
    <t>Alvenaria de vedação de blocos cerâmicos furados na horizontal de 9x14x19cm (espessura 9cm), argamassa de assentamento com preparo manual, junta 1cm (para bebedouro)</t>
  </si>
  <si>
    <t>Viga em concreto para parte superior do bebedouro</t>
  </si>
  <si>
    <t>Portas em alumínio tipo veneziana, nas dimensões 0,40x0,30 m,  para acesso à tubulação de esgoto, 2 unidades</t>
  </si>
  <si>
    <t>Verga moldada in loco em concreto para janelas com até de 1,50m de vão, com transpasse de 20 cm para cada lado (para portas de acesso à tubulação de esgoto do bebedouro)</t>
  </si>
  <si>
    <t>Contraverga moldada in loco em concreto para vãos de até 1,50m de comprimento, com transpasse de 20 cm para cada lado (para portas de acesso à tubulação de esgoto do bebedouro)</t>
  </si>
  <si>
    <t>Verga moldada in loco em concreto para janelas com até de 1,50m de vão, com transpasse de 20 cm para cada lado (passa pratos e porta de acesso ao telhado)</t>
  </si>
  <si>
    <t>Contraverga moldada in loco em concreto para vãos de até 1,50m de comprimento, com transpasse de 20 cm para cada lado (passa pratos e porta de acesso ao telhado)</t>
  </si>
  <si>
    <t>Verga moldada in loco em concreto para janelas com mais de 1,50m de vão, com transpasse de 20 cm para cada lado</t>
  </si>
  <si>
    <t>Contraverga moldada in loco em concreto para vãos de mais de 1,50m de comprimento, com transpasse de 20 cm para cada lado</t>
  </si>
  <si>
    <t>Verga moldada in loco em concreto para portas com até 1,50m de vão, com transpasse de 20 cm para cada lado</t>
  </si>
  <si>
    <t>Verga moldada in loco em concreto para portas com mais de 1,50m de vão, com transpasse de 20 cm para cada lado</t>
  </si>
  <si>
    <t>Contraverga moldada in loco em concreto para vãos de até 1,5 m de comprimento, com transpasse de 20 cm para cada lado</t>
  </si>
  <si>
    <t>Contraverga moldada in loco em concreto para vãos de mais de 1,5 m de comprimento, com transpasse de 20 cm para cada lado</t>
  </si>
  <si>
    <t>Verga moldada in loco em concreto para janelas com até 1,5 m de comprimento, com transpasse de 20 cm para cada lado</t>
  </si>
  <si>
    <t>P06 em vidro temperado 8 mm incolor, de correr, 4 folhas, 2 fixas e 2 móveis, estrutura em alumínio branco, nas dimensões 2,00x2,10 m, 3 unidades</t>
  </si>
  <si>
    <t>5.16.1</t>
  </si>
  <si>
    <t>5.16.2</t>
  </si>
  <si>
    <t>5.16.3</t>
  </si>
  <si>
    <t>5.16.4</t>
  </si>
  <si>
    <t>J08 em vidro temperado 8 mm incolor, 4 folhas, 2 fixas e 2 móveis, estrutura em alumínio branco, nas dimensões 3,00x1,50 m, 2 unidades</t>
  </si>
  <si>
    <t>12.2</t>
  </si>
  <si>
    <t>CALÇADAS, RAMPAS, CORRIMÃOS E PORTÕES</t>
  </si>
  <si>
    <t>ATERRO PARA ÁREA EXTERNA</t>
  </si>
  <si>
    <t>Subtotal item 12.1</t>
  </si>
  <si>
    <t>Subtotal item 12.2</t>
  </si>
  <si>
    <t>Subtotal item 12.3</t>
  </si>
  <si>
    <t>Total item 12.0</t>
  </si>
  <si>
    <t>Aterro mecanizado com escavadeira hidráulica para local onde se localizam fossa e filtro demolidos</t>
  </si>
  <si>
    <t>ÁGUAS PLUVIAIS</t>
  </si>
  <si>
    <t>DRENO</t>
  </si>
  <si>
    <t>Escavação manual para dreno</t>
  </si>
  <si>
    <t>Dreno em tubo de PVC corrugado DN 110 mm, com brita nº 2, envolto em manta geotêxtil, incluso material e mão de obra, conforme indicações de projeto e detalhe</t>
  </si>
  <si>
    <t>Subtotal item 10.1</t>
  </si>
  <si>
    <t>Subtotal item 10.2</t>
  </si>
  <si>
    <t>Tubo PVC, água pluvial, DN 200 mm, fornecimento e instalação</t>
  </si>
  <si>
    <t>Tubo PVC, água pluvial, DN 150 mm, fornecimento e instalação</t>
  </si>
  <si>
    <t>Tubo PVC, água pluvial, DN 100 mm, fornecimento e instalação</t>
  </si>
  <si>
    <t>PISO CERÂMICO PARA ÁREA EXTERNA (AO LADO DO BANHEIRO PCD E DA LAVANDERIA)</t>
  </si>
  <si>
    <t>Tubo PVC, esgoto predial, DN 75 mm, fornecido e instalado em ramal de esgoto sanitário, inclusive conexões</t>
  </si>
  <si>
    <t>Escavação manual para área das novas fossas</t>
  </si>
  <si>
    <t>11.1</t>
  </si>
  <si>
    <t>11.2</t>
  </si>
  <si>
    <t>Total item 11.0</t>
  </si>
  <si>
    <t>Subtotal item 11.1</t>
  </si>
  <si>
    <t>Subtotal item 11.2</t>
  </si>
  <si>
    <t>Fundo em concreto para fossa e filtro 01 (lavanderia e PCD), em concreto magro, com espessura de 10 cm</t>
  </si>
  <si>
    <t>Fundo em concreto para fossa e filtro 02 (cozinha e banheiros), em concreto magro, com espessura de 10 cm</t>
  </si>
  <si>
    <t>Alvenaria de vedação de blocos cerâmicos furados na horizontal de 14x9x19cm (espessura 14cm, bloco deitado), argamassa de assentamento com preparo manual, junta 1cm, para bases de bancadas e fechamento de porta existente</t>
  </si>
  <si>
    <t>Tampas de concreto para fossa e filtro 01, dimensões 0,6x0,6x0,05 m</t>
  </si>
  <si>
    <t>Tampas de concreto para fossa e filtro 02, dimensões 0,6x0,6x0,05 m</t>
  </si>
  <si>
    <t>TUBULAÇÕES (INCLUINDO FOSSA E FILTRO)</t>
  </si>
  <si>
    <t>FOSSAS E FILTROS (ESTRUTURA)</t>
  </si>
  <si>
    <t>Filtro anaeróbio 01 - execução de estrutura de concreto convencional para fundo falso de filtragem, com furos de 2,5cm de diâmetro, distribuidos a cada 15cm de distância por toda a superfície</t>
  </si>
  <si>
    <t>Filtro anaeróbio 02 - execução de estrutura de concreto convencional para fundo falso de filtragem, com furos de 2,5cm de diâmetro, distribuidos a cada 15cm de distância por toda a superfície</t>
  </si>
  <si>
    <t>Filtro anaeróbio 01 - Leito filtrante - fornecimento e preenchimento com brita nº 4</t>
  </si>
  <si>
    <t>Filtro anaeróbio 02 - Leito filtrante - fornecimento e preenchimento com brita nº 4</t>
  </si>
  <si>
    <t>3.1</t>
  </si>
  <si>
    <t>TÉRREO</t>
  </si>
  <si>
    <t>VERGAS E CONTRAVERGAS</t>
  </si>
  <si>
    <t>Contrapiso em argamassa traço 1:4 (cimento e areia), preparo mecânico com betoneira 400 L, aplicado em áreas secas sobre laje, aderido, espessura 5 cm</t>
  </si>
  <si>
    <t>Pilares em concreto armado Fck=25Mpa, incluindo preparo, adensamento e cura, inclusive formas para reutilizacao</t>
  </si>
  <si>
    <t>CAIXA D'ÁGUA</t>
  </si>
  <si>
    <t>Subtotal item 3.1</t>
  </si>
  <si>
    <t>Subtotal item 3.2</t>
  </si>
  <si>
    <t>Subtotal item 3.3</t>
  </si>
  <si>
    <t>Subtotal item 3.4</t>
  </si>
  <si>
    <t>Subtotal item 3.5</t>
  </si>
  <si>
    <t>Bloco de fundação em concreto armado usinado bombeado Fck=25Mpa, incluindo preparo, adensamento e cura, inclusive formas, incluindo arranque dos pilares</t>
  </si>
  <si>
    <t>Viga baldrame em concreto armado usinado bombeado Fck=25Mpa, incluindo preparo, adensamento e cura, inclusive formas para reutilização 2x</t>
  </si>
  <si>
    <t>Pilares em concreto armado usinado bombeado Fck=25Mpa, incluindo preparo, adensamento e cura, inclusive formas para reutilizacao</t>
  </si>
  <si>
    <t>Vigas cinta em concreto armado usinado bombeado Fck=25Mpa, incluindo preparo, adensamento e cura, inclusive formas para reutilização</t>
  </si>
  <si>
    <t>Pilares em concreto armado usinado bombeado Fck=25Mpa, incluindo preparo, adensamento e cura, inclusive formas para reutilizacao (incluindo área sobre edificação existente)</t>
  </si>
  <si>
    <t>Vigas cinta em concreto armado usinado bombeado Fck=25Mpa, incluindo preparo, adensamento e cura, inclusive formas para reutilização (incluindo área sobre edificação existente)</t>
  </si>
  <si>
    <t>Malha de aço soldada nervurada, aço CA-60, 4,2mm, 15x15cm, para colocação área de calçadas no acesso de veículos</t>
  </si>
  <si>
    <t>Aterro manual para área de rampas</t>
  </si>
  <si>
    <t>Concreto armado para laterais de rampas, balisamentos de rampas e viga de delimitação da calçada junto à rampa de acesso de veículos</t>
  </si>
  <si>
    <t>Remoção de grades de toda a edificação, sem reaproveitamento</t>
  </si>
  <si>
    <t>Estaca escavada mecanicamente, sem fluído estabilizante, com 25 cm de diâmetro, com 3 metros de profundidade, concreto lançado manualmente, classe de resistência C25</t>
  </si>
  <si>
    <t>P06 em vidro temperado 8 mm incolor, de correr, 4 folhas, 2 fixas e 2 móveis, estrutura em alumínio branco, nas dimensões 2,00x2,10 m, 1 unidade</t>
  </si>
  <si>
    <t>2.1</t>
  </si>
  <si>
    <t>2.2</t>
  </si>
  <si>
    <t>7.4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</si>
  <si>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</si>
  <si>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</si>
  <si>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</si>
  <si>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</si>
  <si>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</si>
  <si>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</si>
  <si>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</si>
  <si>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</si>
  <si>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</si>
  <si>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</si>
  <si>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</si>
  <si>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</si>
  <si>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</si>
  <si>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</si>
  <si>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</si>
  <si>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ESTRUTURA EM CONCRETO DA ÁREA A CONSTRUIR/RECONSTRUIR</t>
  </si>
  <si>
    <t>3.1.1</t>
  </si>
  <si>
    <t>3.1.2</t>
  </si>
  <si>
    <t>3.1.3</t>
  </si>
  <si>
    <t>3.1.4</t>
  </si>
  <si>
    <t>3.1.5</t>
  </si>
  <si>
    <t>3.1.6</t>
  </si>
  <si>
    <t>3.1.7</t>
  </si>
  <si>
    <t>3.2</t>
  </si>
  <si>
    <t>3.2.1</t>
  </si>
  <si>
    <t>3.2.2</t>
  </si>
  <si>
    <t>3.2.3</t>
  </si>
  <si>
    <t>3.3</t>
  </si>
  <si>
    <t>3.3.1</t>
  </si>
  <si>
    <t>3.3.2</t>
  </si>
  <si>
    <t>3.4</t>
  </si>
  <si>
    <t>3.4.1</t>
  </si>
  <si>
    <t>3.4.2</t>
  </si>
  <si>
    <t>3.5</t>
  </si>
  <si>
    <t>3.5.1</t>
  </si>
  <si>
    <t>3.5.2</t>
  </si>
  <si>
    <t>3.5.3</t>
  </si>
  <si>
    <t>3.5.4</t>
  </si>
  <si>
    <t>3.5.5</t>
  </si>
  <si>
    <t>3.5.6</t>
  </si>
  <si>
    <t>4.1</t>
  </si>
  <si>
    <t>4.2</t>
  </si>
  <si>
    <t>4.3</t>
  </si>
  <si>
    <t>Total item 4.0</t>
  </si>
  <si>
    <t>Madeira para roda-alto, com 7 cm de altura, instalada em alturas conforme projeto, madeira maçaranduba, angelim ou equivalente</t>
  </si>
  <si>
    <t>5.1.1.1</t>
  </si>
  <si>
    <t>8.2.2.2</t>
  </si>
  <si>
    <t>5.1.1.2</t>
  </si>
  <si>
    <t>5.1.1.3</t>
  </si>
  <si>
    <t>5.1.1.4</t>
  </si>
  <si>
    <t>5.1.1.5</t>
  </si>
  <si>
    <t>5.1.2.1</t>
  </si>
  <si>
    <t>5.1.2.2</t>
  </si>
  <si>
    <t>5.1.2.3</t>
  </si>
  <si>
    <t>5.1.3.1</t>
  </si>
  <si>
    <t>5.1.3.2</t>
  </si>
  <si>
    <t>5.1.3.3</t>
  </si>
  <si>
    <t>5.1.3.4</t>
  </si>
  <si>
    <t>5.1.3.5</t>
  </si>
  <si>
    <t>5.1.3.6</t>
  </si>
  <si>
    <t>5.1.3.7</t>
  </si>
  <si>
    <t>5.1.3.8</t>
  </si>
  <si>
    <t>5.1.3.9</t>
  </si>
  <si>
    <t>5.1.3.10</t>
  </si>
  <si>
    <t>5.1.3.11</t>
  </si>
  <si>
    <t>5.1.4.1</t>
  </si>
  <si>
    <t>5.1.4.2</t>
  </si>
  <si>
    <t>5.1.4.3</t>
  </si>
  <si>
    <t>5.1.5.1</t>
  </si>
  <si>
    <t>5.1.5.2</t>
  </si>
  <si>
    <t>5.1.5.3</t>
  </si>
  <si>
    <t>5.1.5.4</t>
  </si>
  <si>
    <t>5.2.1.1</t>
  </si>
  <si>
    <t>8.2.1.1</t>
  </si>
  <si>
    <t>5.2.2.1</t>
  </si>
  <si>
    <t>8.2.2.3</t>
  </si>
  <si>
    <t>8.2.2.1</t>
  </si>
  <si>
    <t>8.2.2.8</t>
  </si>
  <si>
    <t>5.2.2.2</t>
  </si>
  <si>
    <t>5.2.2.3</t>
  </si>
  <si>
    <t>5.2.1.2</t>
  </si>
  <si>
    <t>5.2.1.3</t>
  </si>
  <si>
    <t>5.2.1.4</t>
  </si>
  <si>
    <t>5.2.1.5</t>
  </si>
  <si>
    <t>5.2.1.6</t>
  </si>
  <si>
    <t>5.2.1.7</t>
  </si>
  <si>
    <t>5.2.3.1</t>
  </si>
  <si>
    <t>5.2.3.2</t>
  </si>
  <si>
    <t>5.2.3.3</t>
  </si>
  <si>
    <t>5.2.3.4</t>
  </si>
  <si>
    <t>5.2.3.5</t>
  </si>
  <si>
    <t>5.2.3.6</t>
  </si>
  <si>
    <t>5.2.3.7</t>
  </si>
  <si>
    <t>5.2.4.1</t>
  </si>
  <si>
    <t>5.5.4.1</t>
  </si>
  <si>
    <t>5.2.4.2</t>
  </si>
  <si>
    <t>5.2.4.3</t>
  </si>
  <si>
    <t>5.2.5.1</t>
  </si>
  <si>
    <t>5.2.5.2</t>
  </si>
  <si>
    <t>5.2.5.3</t>
  </si>
  <si>
    <t>5.2.6.1</t>
  </si>
  <si>
    <t>5.2.6.2</t>
  </si>
  <si>
    <t>5.2.6.3</t>
  </si>
  <si>
    <t>5.2.6.4</t>
  </si>
  <si>
    <t>5.2.6.5</t>
  </si>
  <si>
    <t>5.2.6.6</t>
  </si>
  <si>
    <t>5.2.6.7</t>
  </si>
  <si>
    <t>5.2.6.8</t>
  </si>
  <si>
    <t>5.2.6.9</t>
  </si>
  <si>
    <t>5.3.1.1</t>
  </si>
  <si>
    <t>5.3.1.2</t>
  </si>
  <si>
    <t>5.3.1.3</t>
  </si>
  <si>
    <t>5.3.1.4</t>
  </si>
  <si>
    <t>5.3.1.5</t>
  </si>
  <si>
    <t>5.3.2.1</t>
  </si>
  <si>
    <t>7.1</t>
  </si>
  <si>
    <t>5.3.2.2</t>
  </si>
  <si>
    <t>5.3.2.3</t>
  </si>
  <si>
    <t>5.3.3.1</t>
  </si>
  <si>
    <t>5.3.3.2</t>
  </si>
  <si>
    <t>5.3.3.3</t>
  </si>
  <si>
    <t>5.3.3.4</t>
  </si>
  <si>
    <t>5.3.3.5</t>
  </si>
  <si>
    <t>5.3.3.6</t>
  </si>
  <si>
    <t>5.3.3.7</t>
  </si>
  <si>
    <t>5.3.3.8</t>
  </si>
  <si>
    <t>5.3.3.9</t>
  </si>
  <si>
    <t>5.3.3.10</t>
  </si>
  <si>
    <t>5.3.3.11</t>
  </si>
  <si>
    <t>5.3.4.1</t>
  </si>
  <si>
    <t>5.3.4.2</t>
  </si>
  <si>
    <t>5.3.4.3</t>
  </si>
  <si>
    <t>5.3.5.1</t>
  </si>
  <si>
    <t>5.3.5.2</t>
  </si>
  <si>
    <t>5.3.5.3</t>
  </si>
  <si>
    <t>5.3.5.4</t>
  </si>
  <si>
    <t>5.4.1.1</t>
  </si>
  <si>
    <t>5.4.1.2</t>
  </si>
  <si>
    <t>5.4.1.3</t>
  </si>
  <si>
    <t>5.4.1.4</t>
  </si>
  <si>
    <t>5.4.1.5</t>
  </si>
  <si>
    <t>5.4.1.6</t>
  </si>
  <si>
    <t>5.4.1.7</t>
  </si>
  <si>
    <t>5.4.1.8</t>
  </si>
  <si>
    <t>5.4.2.1</t>
  </si>
  <si>
    <t>5.4.2.2</t>
  </si>
  <si>
    <t>5.4.2.3</t>
  </si>
  <si>
    <t>5.4.3.1</t>
  </si>
  <si>
    <t>5.4.3.2</t>
  </si>
  <si>
    <t>5.4.3.3</t>
  </si>
  <si>
    <t>5.4.3.4</t>
  </si>
  <si>
    <t>5.4.3.5</t>
  </si>
  <si>
    <t>5.4.3.6</t>
  </si>
  <si>
    <t>5.4.4.1</t>
  </si>
  <si>
    <t>5.4.4.2</t>
  </si>
  <si>
    <t>5.4.5.1</t>
  </si>
  <si>
    <t>5.4.5.2</t>
  </si>
  <si>
    <t>5.4.5.3</t>
  </si>
  <si>
    <t>5.4.6.1</t>
  </si>
  <si>
    <t>5.4.6.2</t>
  </si>
  <si>
    <t>5.4.6.3</t>
  </si>
  <si>
    <t>5.4.6.4</t>
  </si>
  <si>
    <t>5.4.6.5</t>
  </si>
  <si>
    <t>5.5.1.1</t>
  </si>
  <si>
    <t>5.5.1.2</t>
  </si>
  <si>
    <t>5.5.1.3</t>
  </si>
  <si>
    <t>5.5.1.4</t>
  </si>
  <si>
    <t>5.5.1.5</t>
  </si>
  <si>
    <t>5.5.1.6</t>
  </si>
  <si>
    <t>5.5.1.7</t>
  </si>
  <si>
    <t>5.5.1.8</t>
  </si>
  <si>
    <t>5.5.2.1</t>
  </si>
  <si>
    <t>5.5.3.4</t>
  </si>
  <si>
    <t>5.5.2.2</t>
  </si>
  <si>
    <t>5.5.2.3</t>
  </si>
  <si>
    <t>5.5.2.4</t>
  </si>
  <si>
    <t>5.5.2.5</t>
  </si>
  <si>
    <t>5.5.3.1</t>
  </si>
  <si>
    <t>5.5.3.2</t>
  </si>
  <si>
    <t>5.5.3.3</t>
  </si>
  <si>
    <t>5.5.4.2</t>
  </si>
  <si>
    <t>5.5.4.3</t>
  </si>
  <si>
    <t>5.5.4.4</t>
  </si>
  <si>
    <t>5.5.4.5</t>
  </si>
  <si>
    <t>5.5.4.6</t>
  </si>
  <si>
    <t>5.5.5.1</t>
  </si>
  <si>
    <t>5.5.5.3</t>
  </si>
  <si>
    <t>5.5.5.2</t>
  </si>
  <si>
    <t>5.5.5.4</t>
  </si>
  <si>
    <t>5.5.5.5</t>
  </si>
  <si>
    <t>5.5.6.1</t>
  </si>
  <si>
    <t>5.5.6.2</t>
  </si>
  <si>
    <t>5.5.7.1</t>
  </si>
  <si>
    <t>5.5.7.2</t>
  </si>
  <si>
    <t>5.5.7.3</t>
  </si>
  <si>
    <t>5.5.8.1</t>
  </si>
  <si>
    <t>5.5.8.2</t>
  </si>
  <si>
    <t>5.5.8.3</t>
  </si>
  <si>
    <t>5.6.1.1</t>
  </si>
  <si>
    <t>5.6.1.2</t>
  </si>
  <si>
    <t>5.6.2.1</t>
  </si>
  <si>
    <t>5.6.2.2</t>
  </si>
  <si>
    <t>5.6.3.1</t>
  </si>
  <si>
    <t>5.6.3.2</t>
  </si>
  <si>
    <t>5.6.3.3</t>
  </si>
  <si>
    <t>5.6.3.4</t>
  </si>
  <si>
    <t>5.6.4.1</t>
  </si>
  <si>
    <t>5.6.4.2</t>
  </si>
  <si>
    <t>5.6.4.3</t>
  </si>
  <si>
    <t>5.7.1.1</t>
  </si>
  <si>
    <t>5.7.1.2</t>
  </si>
  <si>
    <t>5.7.1.3</t>
  </si>
  <si>
    <t>5.7.1.4</t>
  </si>
  <si>
    <t>5.7.1.5</t>
  </si>
  <si>
    <t>5.7.1.6</t>
  </si>
  <si>
    <t>5.7.1.7</t>
  </si>
  <si>
    <t>5.7.2.1</t>
  </si>
  <si>
    <t>5.9.1.2</t>
  </si>
  <si>
    <t>5.7.2.2</t>
  </si>
  <si>
    <t>5.7.2.3</t>
  </si>
  <si>
    <t>5.7.2.4</t>
  </si>
  <si>
    <t>5.7.2.5</t>
  </si>
  <si>
    <t>5.7.2.6</t>
  </si>
  <si>
    <t>5.7.3.1</t>
  </si>
  <si>
    <t>5.7.3.2</t>
  </si>
  <si>
    <t>5.7.4.1</t>
  </si>
  <si>
    <t>5.8.4.1</t>
  </si>
  <si>
    <t>5.7.4.2</t>
  </si>
  <si>
    <t>5.7.4.3</t>
  </si>
  <si>
    <t>5.7.4.4</t>
  </si>
  <si>
    <t>5.8.1.1</t>
  </si>
  <si>
    <t>5.8.1.2</t>
  </si>
  <si>
    <t>5.8.1.3</t>
  </si>
  <si>
    <t>5.8.1.4</t>
  </si>
  <si>
    <t>5.8.1.5</t>
  </si>
  <si>
    <t>5.8.1.6</t>
  </si>
  <si>
    <t>5.8.1.7</t>
  </si>
  <si>
    <t>5.8.2.1</t>
  </si>
  <si>
    <t>5.8.2.2</t>
  </si>
  <si>
    <t>5.8.2.3</t>
  </si>
  <si>
    <t>5.8.2.4</t>
  </si>
  <si>
    <t>5.8.2.5</t>
  </si>
  <si>
    <t>5.8.3.1</t>
  </si>
  <si>
    <t>5.8.3.2</t>
  </si>
  <si>
    <t>5.8.4.2</t>
  </si>
  <si>
    <t>5.8.4.3</t>
  </si>
  <si>
    <t>5.9.1.1</t>
  </si>
  <si>
    <t>5.9.1.3</t>
  </si>
  <si>
    <t>5.9.1.4</t>
  </si>
  <si>
    <t>5.9.1.5</t>
  </si>
  <si>
    <t>5.9.1.6</t>
  </si>
  <si>
    <t>5.9.1.7</t>
  </si>
  <si>
    <t>5.9.2.1</t>
  </si>
  <si>
    <t>5.9.2.2</t>
  </si>
  <si>
    <t>5.9.2.3</t>
  </si>
  <si>
    <t>5.9.2.4</t>
  </si>
  <si>
    <t>5.9.2.5</t>
  </si>
  <si>
    <t>5.9.4.4</t>
  </si>
  <si>
    <t>5.9.4.5</t>
  </si>
  <si>
    <t>5.10.1.1</t>
  </si>
  <si>
    <t>5.10.1.2</t>
  </si>
  <si>
    <t>5.10.1.3</t>
  </si>
  <si>
    <t>5.10.1.4</t>
  </si>
  <si>
    <t>5.10.1.5</t>
  </si>
  <si>
    <t>5.10.1.6</t>
  </si>
  <si>
    <t>5.10.1.7</t>
  </si>
  <si>
    <t>5.10.2.1</t>
  </si>
  <si>
    <t>5.10.2.2</t>
  </si>
  <si>
    <t>5.10.2.3</t>
  </si>
  <si>
    <t>5.10.2.4</t>
  </si>
  <si>
    <t>5.10.2.5</t>
  </si>
  <si>
    <t>5.10.3.1</t>
  </si>
  <si>
    <t>5.10.3.2</t>
  </si>
  <si>
    <t>5.10.4.1</t>
  </si>
  <si>
    <t>5.10.4.2</t>
  </si>
  <si>
    <t>5.10.4.3</t>
  </si>
  <si>
    <t>5.11.1.1</t>
  </si>
  <si>
    <t>5.11.1.2</t>
  </si>
  <si>
    <t>5.11.1.3</t>
  </si>
  <si>
    <t>5.11.1.4</t>
  </si>
  <si>
    <t>5.11.1.5</t>
  </si>
  <si>
    <t>5.11.1.6</t>
  </si>
  <si>
    <t>5.11.2.1</t>
  </si>
  <si>
    <t>5.11.2.3</t>
  </si>
  <si>
    <t>5.11.2.4</t>
  </si>
  <si>
    <t>5.11.2.2</t>
  </si>
  <si>
    <t>5.11.3.1</t>
  </si>
  <si>
    <t>5.11.3.2</t>
  </si>
  <si>
    <t>5.11.3.3</t>
  </si>
  <si>
    <t>5.11.3.4</t>
  </si>
  <si>
    <t>5.11.3.5</t>
  </si>
  <si>
    <t>5.11.4.1</t>
  </si>
  <si>
    <t>5.11.4.2</t>
  </si>
  <si>
    <t>5.11.4.3</t>
  </si>
  <si>
    <t>5.11.5.1</t>
  </si>
  <si>
    <t>5.11.5.2</t>
  </si>
  <si>
    <t>5.11.6.1</t>
  </si>
  <si>
    <t>5.11.6.2</t>
  </si>
  <si>
    <t>5.11.6.3</t>
  </si>
  <si>
    <t>5.11.6.4</t>
  </si>
  <si>
    <t>5.11.6.5</t>
  </si>
  <si>
    <t>5.12.1.1</t>
  </si>
  <si>
    <t>5.12.1.2</t>
  </si>
  <si>
    <t>5.12.1.3</t>
  </si>
  <si>
    <t>5.12.1.4</t>
  </si>
  <si>
    <t>5.12.1.5</t>
  </si>
  <si>
    <t>5.12.1.6</t>
  </si>
  <si>
    <t>5.12.2.1</t>
  </si>
  <si>
    <t>5.12.2.2</t>
  </si>
  <si>
    <t>5.12.2.3</t>
  </si>
  <si>
    <t>5.12.2.4</t>
  </si>
  <si>
    <t>5.12.3.1</t>
  </si>
  <si>
    <t>5.12.3.2</t>
  </si>
  <si>
    <t>5.12.3.3</t>
  </si>
  <si>
    <t>5.12.3.4</t>
  </si>
  <si>
    <t>5.12.3.5</t>
  </si>
  <si>
    <t>5.12.4.1</t>
  </si>
  <si>
    <t>5.12.4.2</t>
  </si>
  <si>
    <t>5.12.4.3</t>
  </si>
  <si>
    <t>5.12.5.1</t>
  </si>
  <si>
    <t>5.12.5.2</t>
  </si>
  <si>
    <t>5.12.6.1</t>
  </si>
  <si>
    <t>5.12.6.2</t>
  </si>
  <si>
    <t>5.12.6.3</t>
  </si>
  <si>
    <t>5.12.6.4</t>
  </si>
  <si>
    <t>5.13.1.1</t>
  </si>
  <si>
    <t>5.13.5.5</t>
  </si>
  <si>
    <t>5.13.1.2</t>
  </si>
  <si>
    <t>5.13.1.3</t>
  </si>
  <si>
    <t>5.13.1.4</t>
  </si>
  <si>
    <t>5.13.1.5</t>
  </si>
  <si>
    <t>5.13.1.6</t>
  </si>
  <si>
    <t>5.13.1.7</t>
  </si>
  <si>
    <t>5.13.2.1</t>
  </si>
  <si>
    <t>5.13.2.2</t>
  </si>
  <si>
    <t>5.13.2.3</t>
  </si>
  <si>
    <t>5.13.2.4</t>
  </si>
  <si>
    <t>5.13.3.1</t>
  </si>
  <si>
    <t>5.13.3.2</t>
  </si>
  <si>
    <t>5.13.4.1</t>
  </si>
  <si>
    <t>5.13.4.2</t>
  </si>
  <si>
    <t>5.13.4.3</t>
  </si>
  <si>
    <t>5.13.4.4</t>
  </si>
  <si>
    <t>5.13.4.5</t>
  </si>
  <si>
    <t>5.13.5.1</t>
  </si>
  <si>
    <t>5.13.5.2</t>
  </si>
  <si>
    <t>5.13.5.3</t>
  </si>
  <si>
    <t>5.13.5.4</t>
  </si>
  <si>
    <t>5.14.1.1</t>
  </si>
  <si>
    <t>5.14.1.2</t>
  </si>
  <si>
    <t>5.14.1.3</t>
  </si>
  <si>
    <t>5.14.1.4</t>
  </si>
  <si>
    <t>5.14.1.5</t>
  </si>
  <si>
    <t>5.14.1.6</t>
  </si>
  <si>
    <t>5.14.2.1</t>
  </si>
  <si>
    <t>5.14.2.2</t>
  </si>
  <si>
    <t>5.14.2.3</t>
  </si>
  <si>
    <t>5.14.3.1</t>
  </si>
  <si>
    <t>5.14.3.2</t>
  </si>
  <si>
    <t>5.14.4.1</t>
  </si>
  <si>
    <t>5.14.4.2</t>
  </si>
  <si>
    <t>5.14.4.3</t>
  </si>
  <si>
    <t>5.15.1.1</t>
  </si>
  <si>
    <t>5.15.2.2</t>
  </si>
  <si>
    <t>5.15.2.1</t>
  </si>
  <si>
    <t>5.15.2.3</t>
  </si>
  <si>
    <t>5.15.2.4</t>
  </si>
  <si>
    <t>5.15.2.5</t>
  </si>
  <si>
    <t>5.15.2.6</t>
  </si>
  <si>
    <t>5.15.3.1</t>
  </si>
  <si>
    <t>5.15.3.2</t>
  </si>
  <si>
    <t>5.15.3.3</t>
  </si>
  <si>
    <t>5.15.3.4</t>
  </si>
  <si>
    <t>5.15.3.5</t>
  </si>
  <si>
    <t>5.15.3.6</t>
  </si>
  <si>
    <t>5.15.3.7</t>
  </si>
  <si>
    <t>5.15.3.8</t>
  </si>
  <si>
    <t>5.15.3.9</t>
  </si>
  <si>
    <t>5.15.3.10</t>
  </si>
  <si>
    <t>5.15.4.1</t>
  </si>
  <si>
    <t>5.15.4.2</t>
  </si>
  <si>
    <t>5.15.5.1</t>
  </si>
  <si>
    <t>5.15.5.2</t>
  </si>
  <si>
    <t>5.15.5.3</t>
  </si>
  <si>
    <t>5.15.6.1</t>
  </si>
  <si>
    <t>5.15.6.2</t>
  </si>
  <si>
    <t>5.16.1.1</t>
  </si>
  <si>
    <t>5.16.1.2</t>
  </si>
  <si>
    <t>5.16.1.3</t>
  </si>
  <si>
    <t>5.16.1.4</t>
  </si>
  <si>
    <t>5.16.1.5</t>
  </si>
  <si>
    <t>5.16.1.6</t>
  </si>
  <si>
    <t>5.16.2.1</t>
  </si>
  <si>
    <t>5.16.2.2</t>
  </si>
  <si>
    <t>5.16.2.3</t>
  </si>
  <si>
    <t>5.16.2.4</t>
  </si>
  <si>
    <t>5.16.2.5</t>
  </si>
  <si>
    <t>5.16.3.1</t>
  </si>
  <si>
    <t>5.16.3.2</t>
  </si>
  <si>
    <t>5.16.4.1</t>
  </si>
  <si>
    <t>5.16.4.2</t>
  </si>
  <si>
    <t>5.16.4.3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</si>
  <si>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</si>
  <si>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</si>
  <si>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</si>
  <si>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</si>
  <si>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</si>
  <si>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</si>
  <si>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</si>
  <si>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</si>
  <si>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</si>
  <si>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</si>
  <si>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</si>
  <si>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7.2</t>
  </si>
  <si>
    <t>7.3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</si>
  <si>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</si>
  <si>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</si>
  <si>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</si>
  <si>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</si>
  <si>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</si>
  <si>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</si>
  <si>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</si>
  <si>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</si>
  <si>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</si>
  <si>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</si>
  <si>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</si>
  <si>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</si>
  <si>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</si>
  <si>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</si>
  <si>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8.1</t>
  </si>
  <si>
    <t>8.1.1</t>
  </si>
  <si>
    <t>8.1.2</t>
  </si>
  <si>
    <t>8.1.3</t>
  </si>
  <si>
    <t>8.1.4</t>
  </si>
  <si>
    <t>8.1.5</t>
  </si>
  <si>
    <t>8.2</t>
  </si>
  <si>
    <t>8.2.1</t>
  </si>
  <si>
    <t>8.2.1.2</t>
  </si>
  <si>
    <t>8.2.1.3</t>
  </si>
  <si>
    <t>8.2.1.4</t>
  </si>
  <si>
    <t>8.2.1.5</t>
  </si>
  <si>
    <t>8.2.1.6</t>
  </si>
  <si>
    <t>8.2.1.7</t>
  </si>
  <si>
    <t>8.2.2</t>
  </si>
  <si>
    <t>8.2.2.4</t>
  </si>
  <si>
    <t>8.2.2.5</t>
  </si>
  <si>
    <t>8.2.2.6</t>
  </si>
  <si>
    <t>8.2.2.7</t>
  </si>
  <si>
    <t>8.2.2.9</t>
  </si>
  <si>
    <t>8.2.2.10</t>
  </si>
  <si>
    <t>8.2.3</t>
  </si>
  <si>
    <t>8.2.4</t>
  </si>
  <si>
    <t>8.2.4.1</t>
  </si>
  <si>
    <t>8.2.4.2</t>
  </si>
  <si>
    <t>8.2.4.3</t>
  </si>
  <si>
    <t>8.2.4.4</t>
  </si>
  <si>
    <t>8.2.4.5</t>
  </si>
  <si>
    <t>8.2.4.6</t>
  </si>
  <si>
    <t>8.2.4.7</t>
  </si>
  <si>
    <t>8.2.4.8</t>
  </si>
  <si>
    <t>8.2.4.9</t>
  </si>
  <si>
    <t>8.2.4.10</t>
  </si>
  <si>
    <t>8.2.4.11</t>
  </si>
  <si>
    <t>8.2.4.12</t>
  </si>
  <si>
    <t>8.2.4.13</t>
  </si>
  <si>
    <t>8.2.4.14</t>
  </si>
  <si>
    <t>Subtotal item 8.2.1</t>
  </si>
  <si>
    <t>Subtotal item 8.2.2</t>
  </si>
  <si>
    <t>Subtotal item 8.2.3</t>
  </si>
  <si>
    <t>Subtotal item 8.2.4</t>
  </si>
  <si>
    <t>Subtotal item 8.2.5</t>
  </si>
  <si>
    <t>8.2.5</t>
  </si>
  <si>
    <t>8.2.5.1</t>
  </si>
  <si>
    <t>8.2.5.2</t>
  </si>
  <si>
    <t>8.2.6</t>
  </si>
  <si>
    <t>8.2.6.1</t>
  </si>
  <si>
    <t>8.2.6.2</t>
  </si>
  <si>
    <t>10.1</t>
  </si>
  <si>
    <t>10.1.1</t>
  </si>
  <si>
    <t>10.1.2</t>
  </si>
  <si>
    <t>10.1.3</t>
  </si>
  <si>
    <t>10.1.4</t>
  </si>
  <si>
    <t>10.2</t>
  </si>
  <si>
    <t>10.2.1</t>
  </si>
  <si>
    <t>10.2.2</t>
  </si>
  <si>
    <t>11.1.1</t>
  </si>
  <si>
    <t>11.1.2</t>
  </si>
  <si>
    <t>11.1.3</t>
  </si>
  <si>
    <t>11.1.4</t>
  </si>
  <si>
    <t>11.1.5</t>
  </si>
  <si>
    <t>11.1.6</t>
  </si>
  <si>
    <t>11.1.7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</si>
  <si>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</si>
  <si>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</si>
  <si>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</si>
  <si>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</si>
  <si>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</si>
  <si>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</si>
  <si>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</si>
  <si>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</si>
  <si>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</si>
  <si>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</si>
  <si>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</si>
  <si>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</si>
  <si>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</si>
  <si>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12.1.1</t>
  </si>
  <si>
    <t>12.2.1</t>
  </si>
  <si>
    <t>12.2.2</t>
  </si>
  <si>
    <t>Registro de gaveta bruto, latão, roscável, 1 1/2", fornecido e instalado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</si>
  <si>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</si>
  <si>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</si>
  <si>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</si>
  <si>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</si>
  <si>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</si>
  <si>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</si>
  <si>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</si>
  <si>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</si>
  <si>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</si>
  <si>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</si>
  <si>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15.1</t>
  </si>
  <si>
    <t>15.2</t>
  </si>
  <si>
    <t>15.3</t>
  </si>
  <si>
    <t>15.4</t>
  </si>
  <si>
    <t>15.5</t>
  </si>
  <si>
    <t>15.6</t>
  </si>
  <si>
    <t>Alvenaria de vedação de blocos cerâmicos furados na horizontal de 9x14x19cm (espessura 9cm), argamassa de assentamento com preparo manual, junta 1cm</t>
  </si>
  <si>
    <t>Kit vaso sanitário sifonado infantil com caixa acoplada em louça branca (6 litros de capacidade total, sistema de descarga com 2 botões), padrão médio, incluso assento, incluso engate flexível em inox e acessórios de instalação - fornecimento e instalação</t>
  </si>
  <si>
    <t>13.1</t>
  </si>
  <si>
    <t>Subtotal item 13.1</t>
  </si>
  <si>
    <t>Rufo tipo pingadeira sobre muros laterais, fundos e frontal, em chapa de aço galvanizado número 24, incluso transporte vertical</t>
  </si>
  <si>
    <t>13.2</t>
  </si>
  <si>
    <t>Subtotal item 13.2</t>
  </si>
  <si>
    <t>MURO DE ARRIMO LATERAL</t>
  </si>
  <si>
    <t>13.3</t>
  </si>
  <si>
    <t>Subtotal item 13.3</t>
  </si>
  <si>
    <t>RUFOS PARA MUROS</t>
  </si>
  <si>
    <t>13.4</t>
  </si>
  <si>
    <t>13.5</t>
  </si>
  <si>
    <t>MURO FRONTAL</t>
  </si>
  <si>
    <t>Subtotal item 13.4</t>
  </si>
  <si>
    <t>Subtotal item 13.5</t>
  </si>
  <si>
    <t>Total item 13.0</t>
  </si>
  <si>
    <t>Pilares em concreto armado usinado bombeado Fck=25Mpa, incluindo preparo, adensamento e cura, inclusive formas para reutilização</t>
  </si>
  <si>
    <t>Alvenaria de vedação de blocos cerâmicos furados na horizontal de 11,5x19x19cm (espessura 11,5cm), argamassa de assentamento com preparo manual, junta 1cm</t>
  </si>
  <si>
    <t>Estaca escavada mecanicamente, sem fluído estabilizante, com 25 cm de diâmetro, com 2 metros de profundidade, concreto lançado manualmente, classe de resistência C25</t>
  </si>
  <si>
    <t>Bloco de fundação em concreto armado usinado bombeado Fck=25Mpa, incluindo preparo, adensamento e cura, inclusive formas</t>
  </si>
  <si>
    <t>Tubo PVC, esgoto predial, DN 100 mm, fornecido e instalado para ligação do dreno com a rua</t>
  </si>
  <si>
    <t>Viga intermediária em concreto armado usinado bombeado Fck=25Mpa, incluindo preparo, adensamento e cura, inclusive formas para reutilização</t>
  </si>
  <si>
    <t>Viga cinta em concreto armado usinado bombeado Fck=25Mpa, incluindo preparo, adensamento e cura, inclusive formas para reutilização</t>
  </si>
  <si>
    <t>Aplicação manual de textura acrílica em paredes externas</t>
  </si>
  <si>
    <t>Pintura para paredes em tinta látex acrílica fosca 1ª linha, duas demãos, cor branco</t>
  </si>
  <si>
    <t>Alvenaria estrutural de blocos de concreto estrutural 14x19x39 cm FBK 4,5 MPA (espessura de 14 cm), sem vãos, utilizando palheta e argamassa de assentamento com preparo em betoneira, com aço interno 10mm a cada 2 blocos, com reforço nos cantos e preenchido com concreto e viga cinta em bloco canaleta com aço interno 10mm (para fossa 02 - cozinha e banheiros)</t>
  </si>
  <si>
    <t>Alvenaria estrutural de blocos de concreto estrutural 14x19x39 cm FBK 4,5 MPA (espessura de 14 cm), sem vãos, utilizando palheta e argamassa de assentamento com preparo em betoneira, com aço interno 10mm a cada 2 blocos, com reforço nos cantos e preenchido com concreto e viga cinta em bloco canaleta com aço interno 10mm (para fossa 01 - lavanderia e PCD)</t>
  </si>
  <si>
    <t>Alvenaria estrutural de blocos de concreto estrutural 14x19x39 cm FBK 4,5 MPA (espessura de 14 cm), sem vãos, utilizando palheta e argamassa de assentamento com preparo em betoneira</t>
  </si>
  <si>
    <t>AUMENTO DE MURO LATERAL E POSTERIOR ATÉ A ALTURA DE 1,80m E ACABAMENTOS</t>
  </si>
  <si>
    <t>DEMOLIÇÕES DE MUROS - FRONTAL E LATERAL</t>
  </si>
  <si>
    <t>Escavação manual para muro de arrimo</t>
  </si>
  <si>
    <t>Reaterro mecanizado de vala com escavadeira hidráulica, largura de 1,5 a 2,5 m, profundidade de até 1,5m, em locais de alto nível de interferência</t>
  </si>
  <si>
    <t>Torneira cromada de parede para bebedouros, sem arejador, fornecimento e instalação</t>
  </si>
  <si>
    <t>5.13.4.6</t>
  </si>
  <si>
    <t>P11 em alumínio tipo veneziana, de correr, nas dimensões de 0,60x0,80m, cor branca, 2 unidades</t>
  </si>
  <si>
    <t>Tubo de cobre flexível D=3/8, E=0,79 mm, para instalação de gás</t>
  </si>
  <si>
    <t>Kit cavalete para gás - entrada individual principal, em aço galvanizado DN 15 e 25 mm - fornecimento e instalação</t>
  </si>
  <si>
    <t>Manômetro 0 a 200 PSI (0 a 14 kgf/cm²) - fornecimento e colocação</t>
  </si>
  <si>
    <t>Policarbonato alveolar fumê, espessura 6 mm, incluindo acessórios para fixação, perfis, borrachas, fita protetiva, mão de obra, sobre pérgola</t>
  </si>
  <si>
    <t>Policarbonato alveolar fumê, espessura 6 mm, incluindo acessórios para fixação, perfis, borrachas, fita protetiva, mão de obra, sobre cobertura metálica</t>
  </si>
  <si>
    <t>12.3.1</t>
  </si>
  <si>
    <t>Pintura com tinta alquídica de fundo (tipo zarcão) pulverizada sobre superfícies metálicas, executado em obra</t>
  </si>
  <si>
    <t>Pintura com tinta esmalte sintético acetinado pulverizada sobre superfícies metálicas, executado em obra, por demão</t>
  </si>
  <si>
    <t>Portão de correr em gradil de metalon quadrado com espessura de 4 cm, com espaçamento de 4 cm entre barras, com requadro, acabamento natural, completo, altura de 1,80 m</t>
  </si>
  <si>
    <t>Pintura com tinta esmalte sintético acetinado pulverizada sobre superfícies metálicas, executado em obra, por demão, na cor branca, duas demãos</t>
  </si>
  <si>
    <t>Portão de abrir em gradil de metalon quadrado com espessura de 4 cm, com espaçamento de 4 cm entre barras, com requadro, acabamento natural, completo, altura de 1,80 m</t>
  </si>
  <si>
    <t>Lixeira basculante em gradil de metalon quadrado com espessura de 4 cm, com espaçamento de 4 cm entre barras, com requadro, acabamento natural, completo, altura de 1,80 m</t>
  </si>
  <si>
    <t>Caixa de inspeção para águas pluviais, nas dimensões de 30x30x40cm, em tijolo maciço, com tampa em concreto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</si>
  <si>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</si>
  <si>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</si>
  <si>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</si>
  <si>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</si>
  <si>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</si>
  <si>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</si>
  <si>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</si>
  <si>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</si>
  <si>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</si>
  <si>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</si>
  <si>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</si>
  <si>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</si>
  <si>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</si>
  <si>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</si>
  <si>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</si>
  <si>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ESTRUTURA EM CONCRETO DA ÁREA A CONSTRUIR / RECONSTRUIR</t>
  </si>
  <si>
    <t>REFORMA E AMPLIAÇÃO DO NEI TREM DA ALEGRIA</t>
  </si>
  <si>
    <t>RUA FRANCISCO PILUSKI, 258, B. VICE-KING, P. UNIÃO - SC</t>
  </si>
  <si>
    <t>Demolição de pilares e vigas em concreto armado, de forma manual, sem reaproveitamento</t>
  </si>
  <si>
    <t>Remoção de portões, sem reaproveitamento</t>
  </si>
  <si>
    <t>Caixa de inspeção para esgoto, nas dimensões de 40x40x50cm, em tijolo maciço, com tampa em concreto</t>
  </si>
  <si>
    <t>11.1.8</t>
  </si>
  <si>
    <t>Caixa de gordura retangular em alvenaria de tijolos cerâmicos maciços, dimensões internas 0,4x0,7 m, altura interna 0,8 m</t>
  </si>
  <si>
    <t>Caixa de inspeção, nas dimensões de 30x30x40cm, em tijolo maciço, com tampa em concreto</t>
  </si>
  <si>
    <t>13.1.1</t>
  </si>
  <si>
    <t>13.1.2</t>
  </si>
  <si>
    <t>13.1.3</t>
  </si>
  <si>
    <t>13.2.1</t>
  </si>
  <si>
    <t>13.2.3</t>
  </si>
  <si>
    <t>13.2.2</t>
  </si>
  <si>
    <t>13.2.4</t>
  </si>
  <si>
    <t>13.2.5</t>
  </si>
  <si>
    <t>13.2.6</t>
  </si>
  <si>
    <t>13.2.7</t>
  </si>
  <si>
    <t>13.2.8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</si>
  <si>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</si>
  <si>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</si>
  <si>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</si>
  <si>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</si>
  <si>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</si>
  <si>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</si>
  <si>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</si>
  <si>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</si>
  <si>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</si>
  <si>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</si>
  <si>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13.3.11</t>
  </si>
  <si>
    <t>13.3.12</t>
  </si>
  <si>
    <t>13.3.13</t>
  </si>
  <si>
    <t>13.3.14</t>
  </si>
  <si>
    <t>13.3.15</t>
  </si>
  <si>
    <t>13.3.16</t>
  </si>
  <si>
    <t>13.3.17</t>
  </si>
  <si>
    <t>13.3.18</t>
  </si>
  <si>
    <t>13.4.1</t>
  </si>
  <si>
    <t>13.4.2</t>
  </si>
  <si>
    <t>13.4.3</t>
  </si>
  <si>
    <t>13.4.4</t>
  </si>
  <si>
    <t>13.4.5</t>
  </si>
  <si>
    <t>13.4.6</t>
  </si>
  <si>
    <t>13.4.7</t>
  </si>
  <si>
    <t>13.4.8</t>
  </si>
  <si>
    <t>13.4.9</t>
  </si>
  <si>
    <t>13.4.10</t>
  </si>
  <si>
    <t>13.5.1</t>
  </si>
  <si>
    <t>Viga de madeira aparelhada, 6x12 cm, em maçaranduba, angelim ou equivalente, para suporte da caixa d'água</t>
  </si>
  <si>
    <t>Chapisco de aderência, com aditivo de resina sintética para aderência em pintura existente, preparo em betoneira</t>
  </si>
  <si>
    <t>7.19</t>
  </si>
  <si>
    <t>7.20</t>
  </si>
  <si>
    <t>Pintura esmalte acetinado em madeira, duas demãos, sobre fundo nivelador branco para roda-alto, na cor branca</t>
  </si>
  <si>
    <t>Registro de gaveta bruto, latão, roscável, 1 1/4", com acabamento e canopla cromados, fornecido e instalado em ramal de água</t>
  </si>
  <si>
    <t>P12 em alumínio tipo veneziana, de correr, nas dimensões de 0,50x1,80m, cor branca, 2 unidades, para abrigo de gás</t>
  </si>
  <si>
    <t>Barracão de obra em chapa de madeira compensada com banheiro, cobertura em fibrocimento 6 mm, incluso inst. hidrossanitárias e elétricas</t>
  </si>
  <si>
    <t>5.2.6.10</t>
  </si>
  <si>
    <t>5.11.6.6</t>
  </si>
  <si>
    <t>Espelho cristal espessura 4 mm, com moldura em alumínio e compensado 6mm plastificado colado, dimensões 1,80x0,80 m</t>
  </si>
  <si>
    <t>5.12.6.5</t>
  </si>
  <si>
    <t>Tubo PVC, água pluvial, DN 75mm, fornecido e instalado em condutores verticais de águas pluviais</t>
  </si>
  <si>
    <t>Espelho cristal espessura 4 mm, com moldura em alumínio e compensado 6mm plastificado colado, dimensões 0,60x0,90 m</t>
  </si>
  <si>
    <t>7.21</t>
  </si>
  <si>
    <t>7.22</t>
  </si>
  <si>
    <t>Tabeira em madeira aparelhada, 2,5x5,0 cm, maçaranduba, angelim ou equivalente da região</t>
  </si>
  <si>
    <t>Pintura esmalte acetinado para madeira, duas demãos, sobre fundo nivelador branco</t>
  </si>
  <si>
    <t>Guarda-corpo de aço galvanizado de 1,10 m de altura, com montantes tubulares de 1 1/4" espaçados de 1,20 m, travessa superior de 1 1/2" com tubo de 1" na parte inferior e verticais de 3/4", fixado com chumbador mecânico</t>
  </si>
  <si>
    <t>Corrimão com diâmetro externo 1 1/2" (40 mm), em aço galvanizado, para duas alturas</t>
  </si>
  <si>
    <t>5.16.1.7</t>
  </si>
  <si>
    <t>Execução de estrutura de concreto armado, com espessura de 10 cm, para fechamento superior da fossa 02, com recortes para tampas de inspeção</t>
  </si>
  <si>
    <t>Execução de estrutura de concreto armado, com espessura de 10 cm, para fechamento superior da fossa 01, com recortes para tampas de inspeção</t>
  </si>
  <si>
    <t>Torneira cromada de mesa, tubo móvel, para pia de para cozinha, bica móvel com arejador, padrão alto, fornecimento e instalação</t>
  </si>
  <si>
    <t>Telhamento com telha ondulada de fibrocimento e= 6 mm, com recobrimento lateral de 1 1/4 de onda, para telhado de até 2 águas, incluso içamento</t>
  </si>
  <si>
    <t>7.23</t>
  </si>
  <si>
    <t>7.24</t>
  </si>
  <si>
    <t>Manta aluminizada para subcobertura, revestida em alumínio nas duas superfícies, espessura 2 mm, incluso transporte vertical</t>
  </si>
  <si>
    <t>Cumeeira para telha de fibrocimento ondulada e = 6 mm, incluso acessórios de fixação e içamento</t>
  </si>
  <si>
    <t>Toalheiro plastico tipo dispenser para papel toalha interfolhado</t>
  </si>
  <si>
    <t>Papeleira de parede em metal cromado sem tampa, incluso fixação</t>
  </si>
  <si>
    <t>Saboneteira plástica tipo dispenser para sabonete líquido com reservatório de 800 a 1500 ml</t>
  </si>
  <si>
    <t>Toalheiro plástico tipo dispenser para papel toalha interfolhado</t>
  </si>
  <si>
    <t>5.11.6.7</t>
  </si>
  <si>
    <t>5.11.6.8</t>
  </si>
  <si>
    <t>5.11.6.9</t>
  </si>
  <si>
    <t>5.12.6.6</t>
  </si>
  <si>
    <t>5.12.6.7</t>
  </si>
  <si>
    <t>5.12.6.8</t>
  </si>
  <si>
    <t>5.2.6.11</t>
  </si>
  <si>
    <t>5.2.6.12</t>
  </si>
  <si>
    <t>5.2.6.13</t>
  </si>
  <si>
    <t>74245/1</t>
  </si>
  <si>
    <t>Pintura de calçadas em tinta acrílica para piso cimentado, em duas demãos, na cor cinza cimento</t>
  </si>
  <si>
    <t>JUNHO DE 2021</t>
  </si>
  <si>
    <t xml:space="preserve">Laje pré-moldada para forro, sobrecarga 100kg/m², vãos até 4,00m, e=8cm, incluso enchimento em cerâmica, com escoramento </t>
  </si>
  <si>
    <t>Revestimento cerâmico para piso com placas tipo esmaltada extra de dimensões 45x45 cm, PEI 4 ou superior, aplicada com argamassa colante, na cor bege claro, incluindo rejuntamento</t>
  </si>
  <si>
    <t>Colocação de revestimento cerâmico 10x10 cm, linha em azul médio na parte mais superior, conforme detalhe em projeto, incluindo argamassa colante e rejunte de até 5mm na cor branca, altura de 1,00 m</t>
  </si>
  <si>
    <t>Colocação de revestimento cerâmico 10x10 cm, na cor branca (abaixo da linha em azul médio), conforme detalhe em projeto, incluindo argamassa colante e rejunte de até 5mm na cor branca, altura de 1,00 m</t>
  </si>
  <si>
    <t>5.1.3.12</t>
  </si>
  <si>
    <t>5.3.3.12</t>
  </si>
  <si>
    <t>5.6.3.5</t>
  </si>
  <si>
    <t>5.5.4.7</t>
  </si>
  <si>
    <t>Placa de plano de emergência em PVC adesivada, nas dimensões de 45x30 cm</t>
  </si>
  <si>
    <t>Adesivo de sinalização de risco de choque a ser colocado no quadro de energia elétrica, dimensão de 21x29,7 cm, conforme PPCI</t>
  </si>
  <si>
    <t>5.15.3.11</t>
  </si>
  <si>
    <t>8.2.4.15</t>
  </si>
  <si>
    <t>Ventilador de parede - fornecimento e instalação</t>
  </si>
  <si>
    <t>Acionador para ventilador com variador de velocidade</t>
  </si>
  <si>
    <t>Entrada de serviço padrão Copel 3 x 125 A (material, mão de obra e caminhão munck)</t>
  </si>
  <si>
    <t>Eng. Eletricista 101895</t>
  </si>
  <si>
    <t>COMP. 01</t>
  </si>
  <si>
    <t>COMP. 02</t>
  </si>
  <si>
    <t>COMP. 04</t>
  </si>
  <si>
    <t>COMP. 05</t>
  </si>
  <si>
    <t>COMP. 06</t>
  </si>
  <si>
    <t>COMP. 07</t>
  </si>
  <si>
    <t>COMP. 08</t>
  </si>
  <si>
    <t>COMP. 09</t>
  </si>
  <si>
    <t>COMP. 10</t>
  </si>
  <si>
    <t>COMP. 12</t>
  </si>
  <si>
    <t>COMP. 11</t>
  </si>
  <si>
    <t>COMP. 13</t>
  </si>
  <si>
    <t>COMP. 14</t>
  </si>
  <si>
    <t>COMP. 15</t>
  </si>
  <si>
    <t>COMP. 16</t>
  </si>
  <si>
    <t>COMP. 17</t>
  </si>
  <si>
    <t>COMP. 18</t>
  </si>
  <si>
    <t>6.1.7</t>
  </si>
  <si>
    <t>Colocação de revestimento cerâmico 10x10cm, na cor cinza para pilar na fachada frontal, incluindo argamassa colante e rejunte de até 5mm na cor branca</t>
  </si>
  <si>
    <t>COMP. 03</t>
  </si>
  <si>
    <t>Fabricação e instalação de meia tesoura em aço, vão de 10 metros, para telha de fibrocimento, incluso içamento</t>
  </si>
  <si>
    <t>Fabricação e instalação de meia tesoura em aço, vão de 9 metros, para telha de fibrocimento, incluso içamento</t>
  </si>
  <si>
    <t>Fabricação e instalação de tesoura em aço, vão de 9 metros, para telha de fibrocimento, incluso içamento</t>
  </si>
  <si>
    <t>Fabricação e instalação de meia tesoura em aço, vão de 6 metros, para telha de fibrocimento, incluso içamento</t>
  </si>
  <si>
    <t>Fabricação e instalação de meia tesoura em aço, vão de 5 metros, para telha de fibrocimento, incluso içamento</t>
  </si>
  <si>
    <t>Trama de aço composta por terças para telhados de até 2 águas para telha de fibrocimento, incluso transporte vertical</t>
  </si>
  <si>
    <t>BDI</t>
  </si>
  <si>
    <t>COMP. 19</t>
  </si>
  <si>
    <t>COMP. 23</t>
  </si>
  <si>
    <t>COMP. 22</t>
  </si>
  <si>
    <t>COMP. 21</t>
  </si>
  <si>
    <t>P02 Kit porta pronta branca, 0,90x2,10 m, feita em madeira sendo: folha média (NBR 15930) de 35 mm a 40 mm de espessura, núcleo semi-sólido (sarrafeado), estrutura usinada para fechadura, capa lisa em HDF, acabamento melamínico branco (inclui marco, alizares e dobradiças), fornecimento e instalação</t>
  </si>
  <si>
    <t>P01 Kit porta pronta branca, 0,80x2,10 m, feita em madeira sendo: folha média (NBR 15930) de 35 mm a 40 mm de espessura, núcleo semi-sólido (sarrafeado), estrutura usinada para fechadura, capa lisa em HDF, acabamento melamínico branco (inclui marco, alizares e dobradiças), fornecimento e instalação</t>
  </si>
  <si>
    <t>P10 Kit porta pronta branca, 0,70x2,10 m, feita em madeira sendo: folha média (NBR 15930) de 35 mm a 40 mm de espessura, núcleo semi-sólido (sarrafeado), estrutura usinada para fechadura, capa lisa em HDF, acabamento melamínico branco (inclui marco, alizares e dobradiças), fornecimento e instalação</t>
  </si>
  <si>
    <t>5.1.5.5</t>
  </si>
  <si>
    <t>5.3.5.5</t>
  </si>
  <si>
    <t>Fechadura de embutir para portas internas, completa, acabamento padrão médio, com execução de furo - fornecimento e instalação</t>
  </si>
  <si>
    <t>Fechadura de embutir para portas internas e externas, completa, acabamento padrão médio, com execução de furo - fornecimento e instalação</t>
  </si>
  <si>
    <t>5.4.5.4</t>
  </si>
  <si>
    <t>5.5.7.4</t>
  </si>
  <si>
    <t>5.5.8.4</t>
  </si>
  <si>
    <t>5.8.4.4</t>
  </si>
  <si>
    <t>5.10.4.4</t>
  </si>
  <si>
    <t>5.13.4.7</t>
  </si>
  <si>
    <t>ÁREA A REFORMAR DE196,59 m², ÁREA A RECONSTRUIR DE 81,42 m² E ÁREA A AMPLIAR DE 128,60 m², TOTALIZANDO 406,61 m² DE EDIFICAÇÃO, INCLUINDO REFORMA DA ÁREA EXTERNA E MUROS</t>
  </si>
  <si>
    <t>5.9.3.1</t>
  </si>
  <si>
    <t>5.9.3.2</t>
  </si>
  <si>
    <t>5.9.4.1</t>
  </si>
  <si>
    <t>5.9.4.2</t>
  </si>
  <si>
    <t>5.9.4.3</t>
  </si>
  <si>
    <t>5.2.6.14</t>
  </si>
  <si>
    <t>Assento sanitário convencional - fornecimento 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</si>
</sst>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R$&quot;#,##0.00_);\(&quot;R$&quot;#,##0.00\)"/>
    <numFmt numFmtId="165" formatCode="_(&quot;Cr$&quot;* #,##0.00_);_(&quot;Cr$&quot;* \(#,##0.00\);_(&quot;Cr$&quot;* &quot;-&quot;??_);_(@_)"/>
    <numFmt numFmtId="166" formatCode="#,##0.00_);[Red]#,##0.00;"/>
    <numFmt numFmtId="167" formatCode="#,##0.00_);[Red]\(#,##0.00\);"/>
    <numFmt numFmtId="168" formatCode="0.000%"/>
    <numFmt numFmtId="172" formatCode="#,##0.0000_);[Red]\(#,##0.0000\);"/>
  </numFmts>
  <fonts count="3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CC00CC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0.5"/>
      <name val="Arial"/>
      <family val="2"/>
    </font>
    <font>
      <b/>
      <sz val="9"/>
      <color rgb="FF0070C0"/>
      <name val="Arial"/>
      <family val="2"/>
    </font>
    <font>
      <b/>
      <sz val="5"/>
      <name val="Arial"/>
      <family val="2"/>
    </font>
    <font>
      <b/>
      <sz val="15"/>
      <name val="Arial"/>
      <family val="2"/>
    </font>
    <font>
      <b/>
      <i/>
      <sz val="11"/>
      <name val="Arial"/>
      <family val="2"/>
    </font>
    <font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36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quotePrefix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166" fontId="1" fillId="4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quotePrefix="1" applyFont="1" applyFill="1" applyAlignment="1" applyProtection="1">
      <alignment horizontal="left" vertical="top"/>
      <protection hidden="1"/>
    </xf>
    <xf numFmtId="0" fontId="6" fillId="0" borderId="0" xfId="0" applyFont="1"/>
    <xf numFmtId="0" fontId="16" fillId="0" borderId="0" xfId="0" applyFont="1"/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Alignment="1" applyProtection="1">
      <alignment vertical="center"/>
    </xf>
    <xf numFmtId="0" fontId="6" fillId="4" borderId="3" xfId="0" applyFont="1" applyFill="1" applyBorder="1" applyAlignment="1">
      <alignment horizontal="left" vertical="justify" wrapText="1"/>
    </xf>
    <xf numFmtId="49" fontId="1" fillId="4" borderId="6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/>
    <xf numFmtId="167" fontId="1" fillId="4" borderId="20" xfId="0" applyNumberFormat="1" applyFont="1" applyFill="1" applyBorder="1" applyAlignment="1" applyProtection="1">
      <alignment vertical="center"/>
      <protection hidden="1"/>
    </xf>
    <xf numFmtId="0" fontId="6" fillId="4" borderId="8" xfId="2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center" vertical="center"/>
    </xf>
    <xf numFmtId="10" fontId="8" fillId="4" borderId="0" xfId="3" applyNumberFormat="1" applyFont="1" applyFill="1" applyAlignment="1" applyProtection="1">
      <alignment horizontal="center" vertical="center"/>
      <protection hidden="1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2" fillId="4" borderId="0" xfId="3" applyNumberFormat="1" applyFont="1" applyFill="1" applyBorder="1" applyAlignment="1" applyProtection="1">
      <alignment horizontal="center" vertical="center"/>
      <protection hidden="1"/>
    </xf>
    <xf numFmtId="10" fontId="3" fillId="4" borderId="0" xfId="3" quotePrefix="1" applyNumberFormat="1" applyFont="1" applyFill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18" fillId="4" borderId="1" xfId="3" applyNumberFormat="1" applyFont="1" applyFill="1" applyBorder="1" applyAlignment="1">
      <alignment horizontal="right" vertical="center"/>
    </xf>
    <xf numFmtId="10" fontId="2" fillId="4" borderId="2" xfId="3" applyNumberFormat="1" applyFont="1" applyFill="1" applyBorder="1" applyAlignment="1" applyProtection="1">
      <alignment horizontal="center" vertical="center" wrapText="1"/>
    </xf>
    <xf numFmtId="10" fontId="7" fillId="3" borderId="31" xfId="3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alignment horizontal="right" vertical="center"/>
      <protection hidden="1"/>
    </xf>
    <xf numFmtId="167" fontId="14" fillId="4" borderId="5" xfId="0" applyNumberFormat="1" applyFont="1" applyFill="1" applyBorder="1" applyAlignment="1" applyProtection="1">
      <alignment horizontal="right" vertical="center"/>
      <protection hidden="1"/>
    </xf>
    <xf numFmtId="167" fontId="12" fillId="4" borderId="0" xfId="0" applyNumberFormat="1" applyFont="1" applyFill="1" applyAlignment="1">
      <alignment horizontal="right" vertical="center"/>
    </xf>
    <xf numFmtId="167" fontId="3" fillId="4" borderId="0" xfId="0" quotePrefix="1" applyNumberFormat="1" applyFont="1" applyFill="1" applyAlignment="1" applyProtection="1">
      <alignment horizontal="right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7" fillId="6" borderId="2" xfId="0" applyFont="1" applyFill="1" applyBorder="1" applyAlignment="1">
      <alignment horizontal="left" vertical="justify"/>
    </xf>
    <xf numFmtId="0" fontId="6" fillId="6" borderId="5" xfId="0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>
      <alignment horizontal="left" vertical="justify"/>
    </xf>
    <xf numFmtId="0" fontId="6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6" fillId="4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3" fillId="4" borderId="2" xfId="0" applyFont="1" applyFill="1" applyBorder="1" applyAlignment="1">
      <alignment horizontal="left" vertical="justify"/>
    </xf>
    <xf numFmtId="0" fontId="2" fillId="4" borderId="0" xfId="0" applyFont="1" applyFill="1" applyAlignment="1" applyProtection="1">
      <alignment vertical="center"/>
    </xf>
    <xf numFmtId="9" fontId="0" fillId="0" borderId="0" xfId="0" applyNumberFormat="1"/>
    <xf numFmtId="0" fontId="6" fillId="0" borderId="12" xfId="0" applyFont="1" applyFill="1" applyBorder="1" applyAlignment="1">
      <alignment horizontal="left" vertical="justify"/>
    </xf>
    <xf numFmtId="4" fontId="6" fillId="0" borderId="3" xfId="0" applyNumberFormat="1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left" vertical="justify"/>
    </xf>
    <xf numFmtId="0" fontId="6" fillId="4" borderId="3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right" vertical="center"/>
    </xf>
    <xf numFmtId="168" fontId="0" fillId="4" borderId="7" xfId="3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14" xfId="0" applyFont="1" applyFill="1" applyBorder="1" applyAlignment="1" applyProtection="1">
      <alignment horizontal="left" vertical="top"/>
      <protection locked="0"/>
    </xf>
    <xf numFmtId="10" fontId="18" fillId="4" borderId="7" xfId="3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7" fillId="0" borderId="3" xfId="0" applyFont="1" applyFill="1" applyBorder="1" applyAlignment="1">
      <alignment horizontal="left" vertical="justify"/>
    </xf>
    <xf numFmtId="0" fontId="6" fillId="0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justify"/>
    </xf>
    <xf numFmtId="0" fontId="1" fillId="4" borderId="19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0" fontId="1" fillId="4" borderId="0" xfId="3" applyNumberFormat="1" applyFont="1" applyFill="1" applyBorder="1" applyAlignment="1" applyProtection="1">
      <alignment horizontal="right"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locked="0"/>
    </xf>
    <xf numFmtId="167" fontId="5" fillId="4" borderId="0" xfId="0" applyNumberFormat="1" applyFont="1" applyFill="1" applyBorder="1" applyAlignment="1" applyProtection="1">
      <alignment vertical="center"/>
      <protection hidden="1"/>
    </xf>
    <xf numFmtId="167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10" fontId="1" fillId="4" borderId="3" xfId="3" applyNumberFormat="1" applyFont="1" applyFill="1" applyBorder="1" applyAlignment="1" applyProtection="1">
      <alignment horizontal="right" vertical="center"/>
      <protection hidden="1"/>
    </xf>
    <xf numFmtId="4" fontId="20" fillId="4" borderId="2" xfId="0" applyNumberFormat="1" applyFont="1" applyFill="1" applyBorder="1" applyAlignment="1">
      <alignment vertical="center"/>
    </xf>
    <xf numFmtId="49" fontId="21" fillId="4" borderId="13" xfId="0" applyNumberFormat="1" applyFont="1" applyFill="1" applyBorder="1" applyAlignment="1">
      <alignment horizontal="right" vertical="center"/>
    </xf>
    <xf numFmtId="4" fontId="21" fillId="4" borderId="2" xfId="0" applyNumberFormat="1" applyFont="1" applyFill="1" applyBorder="1" applyAlignment="1">
      <alignment vertical="center"/>
    </xf>
    <xf numFmtId="4" fontId="17" fillId="4" borderId="0" xfId="0" applyNumberFormat="1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4" fontId="20" fillId="4" borderId="36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/>
    <xf numFmtId="17" fontId="14" fillId="2" borderId="34" xfId="0" applyNumberFormat="1" applyFont="1" applyFill="1" applyBorder="1" applyAlignment="1" applyProtection="1">
      <alignment horizontal="left" vertical="top"/>
      <protection locked="0"/>
    </xf>
    <xf numFmtId="4" fontId="17" fillId="0" borderId="3" xfId="0" applyNumberFormat="1" applyFont="1" applyFill="1" applyBorder="1" applyAlignment="1">
      <alignment horizontal="right" vertical="center"/>
    </xf>
    <xf numFmtId="4" fontId="17" fillId="4" borderId="3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7" fontId="2" fillId="0" borderId="0" xfId="0" quotePrefix="1" applyNumberFormat="1" applyFont="1" applyFill="1" applyBorder="1" applyAlignment="1" applyProtection="1">
      <alignment horizontal="center" vertical="center" wrapText="1"/>
    </xf>
    <xf numFmtId="167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7" fontId="2" fillId="0" borderId="2" xfId="0" quotePrefix="1" applyNumberFormat="1" applyFont="1" applyFill="1" applyBorder="1" applyAlignment="1" applyProtection="1">
      <alignment horizontal="center" vertical="center" wrapText="1"/>
    </xf>
    <xf numFmtId="167" fontId="2" fillId="4" borderId="2" xfId="0" applyNumberFormat="1" applyFont="1" applyFill="1" applyBorder="1" applyAlignment="1" applyProtection="1">
      <alignment horizontal="center" vertical="center" wrapText="1"/>
    </xf>
    <xf numFmtId="168" fontId="27" fillId="4" borderId="1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/>
    </xf>
    <xf numFmtId="168" fontId="1" fillId="4" borderId="7" xfId="3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justify"/>
    </xf>
    <xf numFmtId="0" fontId="7" fillId="6" borderId="5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/>
      <protection hidden="1"/>
    </xf>
    <xf numFmtId="166" fontId="1" fillId="2" borderId="0" xfId="0" applyNumberFormat="1" applyFont="1" applyFill="1" applyBorder="1" applyAlignment="1" applyProtection="1">
      <alignment vertical="center"/>
      <protection hidden="1"/>
    </xf>
    <xf numFmtId="167" fontId="5" fillId="2" borderId="6" xfId="0" applyNumberFormat="1" applyFont="1" applyFill="1" applyBorder="1" applyAlignment="1" applyProtection="1">
      <alignment vertical="center"/>
      <protection hidden="1"/>
    </xf>
    <xf numFmtId="167" fontId="5" fillId="4" borderId="6" xfId="0" applyNumberFormat="1" applyFont="1" applyFill="1" applyBorder="1" applyAlignment="1" applyProtection="1">
      <alignment vertical="center"/>
      <protection hidden="1"/>
    </xf>
    <xf numFmtId="167" fontId="19" fillId="4" borderId="6" xfId="0" applyNumberFormat="1" applyFont="1" applyFill="1" applyBorder="1" applyAlignment="1" applyProtection="1">
      <alignment vertical="center"/>
      <protection hidden="1"/>
    </xf>
    <xf numFmtId="167" fontId="2" fillId="4" borderId="6" xfId="0" applyNumberFormat="1" applyFont="1" applyFill="1" applyBorder="1" applyAlignment="1" applyProtection="1">
      <alignment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hidden="1"/>
    </xf>
    <xf numFmtId="167" fontId="12" fillId="4" borderId="0" xfId="0" applyNumberFormat="1" applyFont="1" applyFill="1" applyBorder="1" applyAlignment="1" applyProtection="1">
      <alignment vertical="center"/>
      <protection locked="0"/>
    </xf>
    <xf numFmtId="167" fontId="12" fillId="4" borderId="0" xfId="0" applyNumberFormat="1" applyFont="1" applyFill="1" applyBorder="1" applyAlignment="1" applyProtection="1">
      <alignment vertical="center"/>
      <protection hidden="1"/>
    </xf>
    <xf numFmtId="167" fontId="19" fillId="4" borderId="0" xfId="0" applyNumberFormat="1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 applyProtection="1">
      <alignment vertical="center"/>
    </xf>
    <xf numFmtId="167" fontId="2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</xf>
    <xf numFmtId="167" fontId="7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hidden="1"/>
    </xf>
    <xf numFmtId="166" fontId="3" fillId="4" borderId="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Alignment="1" applyProtection="1">
      <alignment horizontal="right" vertical="center"/>
      <protection hidden="1"/>
    </xf>
    <xf numFmtId="165" fontId="1" fillId="4" borderId="0" xfId="0" applyNumberFormat="1" applyFont="1" applyFill="1" applyBorder="1" applyAlignment="1" applyProtection="1">
      <alignment horizontal="right" vertical="center"/>
      <protection hidden="1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166" fontId="4" fillId="4" borderId="0" xfId="0" applyNumberFormat="1" applyFont="1" applyFill="1" applyBorder="1" applyAlignment="1">
      <alignment horizontal="right" vertical="center"/>
    </xf>
    <xf numFmtId="166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6" fontId="1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vertical="center"/>
      <protection hidden="1"/>
    </xf>
    <xf numFmtId="1" fontId="5" fillId="4" borderId="0" xfId="0" applyNumberFormat="1" applyFont="1" applyFill="1" applyBorder="1" applyAlignment="1" applyProtection="1">
      <alignment horizontal="center" vertical="center"/>
      <protection locked="0"/>
    </xf>
    <xf numFmtId="166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right" vertical="center"/>
      <protection hidden="1"/>
    </xf>
    <xf numFmtId="166" fontId="2" fillId="4" borderId="0" xfId="0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0" fontId="6" fillId="4" borderId="14" xfId="3" applyNumberFormat="1" applyFont="1" applyFill="1" applyBorder="1" applyAlignment="1">
      <alignment horizontal="right" vertical="center"/>
    </xf>
    <xf numFmtId="10" fontId="6" fillId="4" borderId="3" xfId="3" applyNumberFormat="1" applyFont="1" applyFill="1" applyBorder="1" applyAlignment="1">
      <alignment horizontal="right" vertical="center"/>
    </xf>
    <xf numFmtId="10" fontId="13" fillId="0" borderId="2" xfId="3" applyNumberFormat="1" applyFont="1" applyBorder="1" applyAlignment="1">
      <alignment horizontal="left"/>
    </xf>
    <xf numFmtId="0" fontId="20" fillId="4" borderId="13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7" fillId="6" borderId="8" xfId="0" applyFont="1" applyFill="1" applyBorder="1" applyAlignment="1">
      <alignment horizontal="left" vertical="justify"/>
    </xf>
    <xf numFmtId="167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 applyProtection="1">
      <alignment horizontal="right" vertical="center"/>
      <protection locked="0"/>
    </xf>
    <xf numFmtId="167" fontId="1" fillId="4" borderId="20" xfId="0" applyNumberFormat="1" applyFont="1" applyFill="1" applyBorder="1" applyAlignment="1" applyProtection="1">
      <alignment horizontal="right" vertical="center"/>
      <protection locked="0"/>
    </xf>
    <xf numFmtId="166" fontId="6" fillId="4" borderId="0" xfId="0" applyNumberFormat="1" applyFont="1" applyFill="1" applyBorder="1" applyAlignment="1">
      <alignment vertical="center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 applyAlignment="1"/>
    <xf numFmtId="0" fontId="10" fillId="0" borderId="0" xfId="0" applyFont="1" applyFill="1" applyAlignment="1">
      <alignment vertical="center"/>
    </xf>
    <xf numFmtId="4" fontId="20" fillId="4" borderId="7" xfId="0" applyNumberFormat="1" applyFont="1" applyFill="1" applyBorder="1" applyAlignment="1">
      <alignment horizontal="right" vertical="center"/>
    </xf>
    <xf numFmtId="168" fontId="27" fillId="4" borderId="7" xfId="3" applyNumberFormat="1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167" fontId="33" fillId="4" borderId="0" xfId="0" applyNumberFormat="1" applyFont="1" applyFill="1" applyAlignment="1">
      <alignment horizontal="center" vertical="center"/>
    </xf>
    <xf numFmtId="167" fontId="2" fillId="2" borderId="2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1" fillId="4" borderId="20" xfId="0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justify"/>
    </xf>
    <xf numFmtId="0" fontId="6" fillId="4" borderId="12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10" fontId="7" fillId="4" borderId="7" xfId="3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 applyProtection="1">
      <alignment horizontal="left" vertical="top"/>
      <protection locked="0"/>
    </xf>
    <xf numFmtId="0" fontId="20" fillId="4" borderId="12" xfId="0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43" fontId="6" fillId="0" borderId="0" xfId="0" applyNumberFormat="1" applyFont="1"/>
    <xf numFmtId="0" fontId="9" fillId="0" borderId="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4" borderId="1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167" fontId="12" fillId="0" borderId="0" xfId="0" applyNumberFormat="1" applyFont="1"/>
    <xf numFmtId="0" fontId="20" fillId="4" borderId="12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justify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0" fontId="7" fillId="0" borderId="2" xfId="0" applyFont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justify"/>
    </xf>
    <xf numFmtId="0" fontId="10" fillId="5" borderId="37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43" fontId="16" fillId="4" borderId="23" xfId="1" applyFont="1" applyFill="1" applyBorder="1" applyAlignment="1">
      <alignment horizontal="center" vertical="center"/>
    </xf>
    <xf numFmtId="43" fontId="16" fillId="8" borderId="23" xfId="1" applyFont="1" applyFill="1" applyBorder="1" applyAlignment="1">
      <alignment horizontal="center" vertical="center"/>
    </xf>
    <xf numFmtId="9" fontId="16" fillId="8" borderId="24" xfId="1" applyNumberFormat="1" applyFont="1" applyFill="1" applyBorder="1" applyAlignment="1">
      <alignment horizontal="center" vertical="center"/>
    </xf>
    <xf numFmtId="9" fontId="16" fillId="8" borderId="32" xfId="3" applyFont="1" applyFill="1" applyBorder="1" applyAlignment="1">
      <alignment horizontal="center" vertical="center"/>
    </xf>
    <xf numFmtId="9" fontId="16" fillId="8" borderId="32" xfId="1" applyNumberFormat="1" applyFont="1" applyFill="1" applyBorder="1" applyAlignment="1">
      <alignment horizontal="center" vertical="center"/>
    </xf>
    <xf numFmtId="9" fontId="16" fillId="8" borderId="30" xfId="1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43" fontId="16" fillId="4" borderId="31" xfId="1" applyFont="1" applyFill="1" applyBorder="1" applyAlignment="1">
      <alignment horizontal="center" vertical="center"/>
    </xf>
    <xf numFmtId="9" fontId="16" fillId="4" borderId="19" xfId="1" applyNumberFormat="1" applyFont="1" applyFill="1" applyBorder="1" applyAlignment="1">
      <alignment horizontal="center" vertical="center"/>
    </xf>
    <xf numFmtId="9" fontId="16" fillId="8" borderId="12" xfId="3" applyFont="1" applyFill="1" applyBorder="1" applyAlignment="1">
      <alignment horizontal="center" vertical="center"/>
    </xf>
    <xf numFmtId="43" fontId="16" fillId="8" borderId="31" xfId="1" applyFont="1" applyFill="1" applyBorder="1" applyAlignment="1">
      <alignment horizontal="center" vertical="center"/>
    </xf>
    <xf numFmtId="9" fontId="16" fillId="8" borderId="19" xfId="1" applyNumberFormat="1" applyFont="1" applyFill="1" applyBorder="1" applyAlignment="1">
      <alignment horizontal="center" vertical="center"/>
    </xf>
    <xf numFmtId="9" fontId="16" fillId="8" borderId="12" xfId="1" applyNumberFormat="1" applyFont="1" applyFill="1" applyBorder="1" applyAlignment="1">
      <alignment horizontal="center" vertical="center"/>
    </xf>
    <xf numFmtId="9" fontId="16" fillId="4" borderId="12" xfId="3" applyFont="1" applyFill="1" applyBorder="1" applyAlignment="1">
      <alignment horizontal="center" vertical="center"/>
    </xf>
    <xf numFmtId="9" fontId="16" fillId="4" borderId="12" xfId="1" applyNumberFormat="1" applyFont="1" applyFill="1" applyBorder="1" applyAlignment="1">
      <alignment horizontal="center" vertical="center"/>
    </xf>
    <xf numFmtId="43" fontId="10" fillId="5" borderId="23" xfId="1" applyFont="1" applyFill="1" applyBorder="1" applyAlignment="1">
      <alignment horizontal="center" vertical="center"/>
    </xf>
    <xf numFmtId="9" fontId="10" fillId="5" borderId="32" xfId="3" applyFont="1" applyFill="1" applyBorder="1" applyAlignment="1">
      <alignment horizontal="center" vertical="center"/>
    </xf>
    <xf numFmtId="10" fontId="10" fillId="5" borderId="24" xfId="3" applyNumberFormat="1" applyFont="1" applyFill="1" applyBorder="1" applyAlignment="1">
      <alignment horizontal="center" vertical="center"/>
    </xf>
    <xf numFmtId="43" fontId="10" fillId="5" borderId="27" xfId="1" applyFont="1" applyFill="1" applyBorder="1" applyAlignment="1">
      <alignment horizontal="center" vertical="center"/>
    </xf>
    <xf numFmtId="9" fontId="10" fillId="5" borderId="33" xfId="3" applyFont="1" applyFill="1" applyBorder="1" applyAlignment="1">
      <alignment horizontal="center" vertical="center"/>
    </xf>
    <xf numFmtId="10" fontId="10" fillId="5" borderId="33" xfId="3" applyNumberFormat="1" applyFont="1" applyFill="1" applyBorder="1" applyAlignment="1">
      <alignment horizontal="center" vertical="center"/>
    </xf>
    <xf numFmtId="10" fontId="10" fillId="5" borderId="28" xfId="3" applyNumberFormat="1" applyFont="1" applyFill="1" applyBorder="1" applyAlignment="1">
      <alignment horizontal="center" vertical="center"/>
    </xf>
    <xf numFmtId="43" fontId="10" fillId="5" borderId="36" xfId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right" vertical="center"/>
    </xf>
    <xf numFmtId="167" fontId="36" fillId="4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10" fontId="1" fillId="4" borderId="0" xfId="3" applyNumberFormat="1" applyFont="1" applyFill="1" applyBorder="1" applyAlignment="1" applyProtection="1">
      <alignment horizontal="center" vertical="center"/>
      <protection hidden="1"/>
    </xf>
    <xf numFmtId="172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6" fillId="0" borderId="0" xfId="0" applyNumberFormat="1" applyFont="1"/>
    <xf numFmtId="0" fontId="24" fillId="8" borderId="2" xfId="0" applyFont="1" applyFill="1" applyBorder="1" applyAlignment="1" applyProtection="1">
      <alignment horizontal="center" vertical="center"/>
      <protection hidden="1"/>
    </xf>
    <xf numFmtId="10" fontId="13" fillId="8" borderId="2" xfId="3" applyNumberFormat="1" applyFont="1" applyFill="1" applyBorder="1" applyAlignment="1" applyProtection="1">
      <alignment horizontal="center" vertical="top"/>
      <protection hidden="1"/>
    </xf>
    <xf numFmtId="43" fontId="10" fillId="5" borderId="29" xfId="1" applyFont="1" applyFill="1" applyBorder="1" applyAlignment="1">
      <alignment horizontal="center" vertical="center"/>
    </xf>
    <xf numFmtId="10" fontId="10" fillId="5" borderId="15" xfId="3" applyNumberFormat="1" applyFont="1" applyFill="1" applyBorder="1" applyAlignment="1">
      <alignment horizontal="center" vertical="center"/>
    </xf>
    <xf numFmtId="43" fontId="16" fillId="4" borderId="27" xfId="1" applyFont="1" applyFill="1" applyBorder="1" applyAlignment="1">
      <alignment horizontal="center" vertical="center"/>
    </xf>
    <xf numFmtId="9" fontId="16" fillId="8" borderId="28" xfId="1" applyNumberFormat="1" applyFont="1" applyFill="1" applyBorder="1" applyAlignment="1">
      <alignment horizontal="center" vertical="center"/>
    </xf>
    <xf numFmtId="43" fontId="16" fillId="8" borderId="27" xfId="1" applyFont="1" applyFill="1" applyBorder="1" applyAlignment="1">
      <alignment horizontal="center" vertical="center"/>
    </xf>
    <xf numFmtId="43" fontId="10" fillId="5" borderId="5" xfId="1" applyFont="1" applyFill="1" applyBorder="1" applyAlignment="1">
      <alignment horizontal="center" vertical="center"/>
    </xf>
    <xf numFmtId="9" fontId="16" fillId="8" borderId="33" xfId="3" applyFont="1" applyFill="1" applyBorder="1" applyAlignment="1">
      <alignment horizontal="center" vertical="center"/>
    </xf>
    <xf numFmtId="10" fontId="10" fillId="5" borderId="30" xfId="3" applyNumberFormat="1" applyFont="1" applyFill="1" applyBorder="1" applyAlignment="1">
      <alignment horizontal="center" vertical="center"/>
    </xf>
    <xf numFmtId="9" fontId="16" fillId="4" borderId="32" xfId="1" applyNumberFormat="1" applyFont="1" applyFill="1" applyBorder="1" applyAlignment="1">
      <alignment horizontal="center" vertical="center"/>
    </xf>
    <xf numFmtId="9" fontId="16" fillId="8" borderId="33" xfId="1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167" fontId="10" fillId="4" borderId="29" xfId="0" applyNumberFormat="1" applyFont="1" applyFill="1" applyBorder="1" applyAlignment="1" applyProtection="1">
      <alignment horizontal="center" vertical="center"/>
      <protection locked="0"/>
    </xf>
    <xf numFmtId="10" fontId="16" fillId="4" borderId="30" xfId="3" applyNumberFormat="1" applyFont="1" applyFill="1" applyBorder="1" applyAlignment="1">
      <alignment horizontal="center" vertical="center"/>
    </xf>
    <xf numFmtId="167" fontId="10" fillId="4" borderId="41" xfId="0" applyNumberFormat="1" applyFont="1" applyFill="1" applyBorder="1" applyAlignment="1" applyProtection="1">
      <alignment horizontal="center" vertical="center"/>
      <protection locked="0"/>
    </xf>
    <xf numFmtId="10" fontId="16" fillId="4" borderId="42" xfId="3" applyNumberFormat="1" applyFont="1" applyFill="1" applyBorder="1" applyAlignment="1">
      <alignment horizontal="center" vertical="center"/>
    </xf>
    <xf numFmtId="9" fontId="16" fillId="4" borderId="28" xfId="1" applyNumberFormat="1" applyFont="1" applyFill="1" applyBorder="1" applyAlignment="1">
      <alignment horizontal="center" vertical="center"/>
    </xf>
    <xf numFmtId="9" fontId="16" fillId="4" borderId="33" xfId="1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0" fontId="17" fillId="4" borderId="13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13" fillId="0" borderId="2" xfId="0" applyFont="1" applyBorder="1" applyAlignment="1">
      <alignment horizontal="left" wrapText="1"/>
    </xf>
    <xf numFmtId="17" fontId="32" fillId="2" borderId="2" xfId="0" applyNumberFormat="1" applyFont="1" applyFill="1" applyBorder="1" applyAlignment="1" applyProtection="1">
      <alignment horizontal="center" vertical="center"/>
      <protection locked="0"/>
    </xf>
    <xf numFmtId="17" fontId="24" fillId="2" borderId="12" xfId="0" applyNumberFormat="1" applyFont="1" applyFill="1" applyBorder="1" applyAlignment="1" applyProtection="1">
      <alignment horizontal="left" vertical="center"/>
      <protection locked="0"/>
    </xf>
    <xf numFmtId="17" fontId="24" fillId="2" borderId="13" xfId="0" applyNumberFormat="1" applyFont="1" applyFill="1" applyBorder="1" applyAlignment="1" applyProtection="1">
      <alignment horizontal="left" vertical="center"/>
      <protection locked="0"/>
    </xf>
    <xf numFmtId="17" fontId="24" fillId="2" borderId="8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top"/>
      <protection hidden="1"/>
    </xf>
    <xf numFmtId="0" fontId="13" fillId="2" borderId="13" xfId="0" applyFont="1" applyFill="1" applyBorder="1" applyAlignment="1" applyProtection="1">
      <alignment horizontal="left" vertical="top"/>
      <protection hidden="1"/>
    </xf>
    <xf numFmtId="0" fontId="13" fillId="2" borderId="8" xfId="0" applyFont="1" applyFill="1" applyBorder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20" xfId="0" applyFont="1" applyFill="1" applyBorder="1" applyAlignment="1" applyProtection="1">
      <alignment horizontal="center" vertical="top"/>
      <protection hidden="1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10" fontId="2" fillId="4" borderId="5" xfId="3" applyNumberFormat="1" applyFont="1" applyFill="1" applyBorder="1" applyAlignment="1" applyProtection="1">
      <alignment horizontal="center" vertical="center" wrapText="1"/>
    </xf>
    <xf numFmtId="0" fontId="10" fillId="5" borderId="27" xfId="0" applyFont="1" applyFill="1" applyBorder="1" applyAlignment="1">
      <alignment horizontal="right" vertical="center"/>
    </xf>
    <xf numFmtId="0" fontId="10" fillId="5" borderId="28" xfId="0" applyFont="1" applyFill="1" applyBorder="1" applyAlignment="1">
      <alignment horizontal="right" vertical="center"/>
    </xf>
    <xf numFmtId="0" fontId="35" fillId="5" borderId="23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 vertical="center"/>
    </xf>
    <xf numFmtId="0" fontId="35" fillId="5" borderId="3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right" vertical="center"/>
    </xf>
    <xf numFmtId="0" fontId="10" fillId="5" borderId="24" xfId="0" applyFont="1" applyFill="1" applyBorder="1" applyAlignment="1">
      <alignment horizontal="right" vertical="center"/>
    </xf>
    <xf numFmtId="0" fontId="35" fillId="5" borderId="21" xfId="0" applyFon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39" xfId="0" applyFont="1" applyFill="1" applyBorder="1" applyAlignment="1">
      <alignment horizontal="center" vertical="center"/>
    </xf>
    <xf numFmtId="0" fontId="35" fillId="5" borderId="40" xfId="0" applyFont="1" applyFill="1" applyBorder="1" applyAlignment="1">
      <alignment horizontal="center" vertical="center"/>
    </xf>
    <xf numFmtId="0" fontId="35" fillId="5" borderId="22" xfId="0" applyFont="1" applyFill="1" applyBorder="1" applyAlignment="1">
      <alignment horizontal="center" vertical="center" wrapText="1"/>
    </xf>
    <xf numFmtId="0" fontId="35" fillId="5" borderId="26" xfId="0" applyFont="1" applyFill="1" applyBorder="1" applyAlignment="1">
      <alignment horizontal="center" vertical="center" wrapText="1"/>
    </xf>
    <xf numFmtId="165" fontId="28" fillId="4" borderId="0" xfId="0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 xr:uid="{00000000-0005-0000-0000-000001000000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573004</xdr:colOff>
      <xdr:row>0</xdr:row>
      <xdr:rowOff>85223</xdr:rowOff>
    </xdr:from>
    <xdr:to>
      <xdr:col>16</xdr:col>
      <xdr:colOff>440154</xdr:colOff>
      <xdr:row>5</xdr:row>
      <xdr:rowOff>123323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1129" y="85223"/>
          <a:ext cx="756986" cy="11660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569829</xdr:colOff>
      <xdr:row>0</xdr:row>
      <xdr:rowOff>85223</xdr:rowOff>
    </xdr:from>
    <xdr:to>
      <xdr:col>28</xdr:col>
      <xdr:colOff>436979</xdr:colOff>
      <xdr:row>5</xdr:row>
      <xdr:rowOff>123323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8BCC63-B3F5-4C4F-91B0-5750F8E9A3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1129" y="85223"/>
          <a:ext cx="75615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78"/>
  <sheetViews>
    <sheetView tabSelected="1" zoomScale="90" zoomScaleNormal="90" zoomScaleSheetLayoutView="75" workbookViewId="0">
      <selection activeCell="H15" sqref="H15"/>
    </sheetView>
  </sheetViews>
  <sheetFormatPr defaultColWidth="11.42578125" defaultRowHeight="12.75" x14ac:dyDescent="0.2"/>
  <cols>
    <col min="1" max="1" width="3.5703125" style="1" customWidth="1"/>
    <col min="2" max="2" width="11.42578125" style="23"/>
    <col min="3" max="3" width="8.28515625" style="254" customWidth="1"/>
    <col min="4" max="4" width="45" style="2" customWidth="1"/>
    <col min="5" max="5" width="8.140625" style="178" customWidth="1"/>
    <col min="6" max="6" width="8.7109375" style="188" customWidth="1"/>
    <col min="7" max="7" width="12.5703125" style="292" customWidth="1"/>
    <col min="8" max="8" width="11.7109375" style="216" customWidth="1"/>
    <col min="9" max="9" width="14.42578125" style="52" customWidth="1"/>
    <col min="10" max="10" width="9.7109375" style="46" customWidth="1"/>
    <col min="11" max="11" width="2.42578125" style="2" customWidth="1"/>
    <col min="12" max="12" width="9.28515625" style="166" customWidth="1"/>
    <col min="13" max="13" width="10.85546875" style="167" customWidth="1"/>
    <col min="14" max="14" width="10.7109375" style="166" customWidth="1"/>
    <col min="15" max="15" width="13.5703125" style="168" customWidth="1"/>
    <col min="16" max="16" width="10.42578125" style="169" customWidth="1"/>
    <col min="17" max="28" width="10.7109375" style="169" customWidth="1"/>
    <col min="29" max="45" width="11.42578125" style="112"/>
    <col min="46" max="16384" width="11.42578125" style="2"/>
  </cols>
  <sheetData>
    <row r="1" spans="1:45" ht="23.25" x14ac:dyDescent="0.2">
      <c r="C1" s="328" t="s">
        <v>101</v>
      </c>
      <c r="D1" s="328"/>
      <c r="E1" s="328"/>
      <c r="F1" s="328"/>
      <c r="G1" s="328"/>
      <c r="H1" s="328"/>
      <c r="I1" s="328"/>
      <c r="J1" s="41"/>
      <c r="K1" s="15"/>
      <c r="L1" s="144"/>
      <c r="M1" s="144"/>
      <c r="N1" s="144"/>
      <c r="O1" s="144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</row>
    <row r="2" spans="1:45" ht="18" x14ac:dyDescent="0.2">
      <c r="B2" s="24"/>
      <c r="C2" s="329" t="s">
        <v>8</v>
      </c>
      <c r="D2" s="329"/>
      <c r="E2" s="329"/>
      <c r="F2" s="329"/>
      <c r="G2" s="329"/>
      <c r="H2" s="329"/>
      <c r="I2" s="329"/>
      <c r="J2" s="42"/>
      <c r="K2" s="3"/>
      <c r="L2" s="146"/>
      <c r="M2" s="147"/>
      <c r="N2" s="148"/>
      <c r="O2" s="148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45" s="6" customFormat="1" x14ac:dyDescent="0.2">
      <c r="A3" s="4"/>
      <c r="B3" s="25"/>
      <c r="C3" s="330" t="s">
        <v>7</v>
      </c>
      <c r="D3" s="330"/>
      <c r="E3" s="330"/>
      <c r="F3" s="330"/>
      <c r="G3" s="330"/>
      <c r="H3" s="330"/>
      <c r="I3" s="330"/>
      <c r="J3" s="43"/>
      <c r="K3" s="5"/>
      <c r="L3" s="149"/>
      <c r="M3" s="147"/>
      <c r="N3" s="150"/>
      <c r="O3" s="151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</row>
    <row r="4" spans="1:45" x14ac:dyDescent="0.2">
      <c r="B4" s="24"/>
      <c r="C4" s="248"/>
      <c r="D4" s="54"/>
      <c r="E4" s="16"/>
      <c r="F4" s="16"/>
      <c r="G4" s="291"/>
      <c r="H4" s="207"/>
      <c r="I4" s="53"/>
      <c r="J4" s="44"/>
      <c r="K4" s="7"/>
      <c r="L4" s="155"/>
      <c r="M4" s="147"/>
      <c r="N4" s="150"/>
      <c r="O4" s="156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45" x14ac:dyDescent="0.2">
      <c r="B5" s="26"/>
      <c r="C5" s="258" t="s">
        <v>0</v>
      </c>
      <c r="D5" s="333" t="s">
        <v>123</v>
      </c>
      <c r="E5" s="334"/>
      <c r="F5" s="334"/>
      <c r="G5" s="335"/>
      <c r="H5" s="332" t="s">
        <v>1207</v>
      </c>
      <c r="I5" s="332"/>
      <c r="J5" s="170"/>
      <c r="K5" s="130"/>
      <c r="L5" s="157"/>
      <c r="M5" s="158"/>
      <c r="N5" s="159"/>
      <c r="O5" s="160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45" x14ac:dyDescent="0.2">
      <c r="B6" s="27"/>
      <c r="C6" s="258" t="s">
        <v>16</v>
      </c>
      <c r="D6" s="336" t="s">
        <v>124</v>
      </c>
      <c r="E6" s="337"/>
      <c r="F6" s="337"/>
      <c r="G6" s="338"/>
      <c r="H6" s="296" t="s">
        <v>1250</v>
      </c>
      <c r="I6" s="297">
        <v>0.29070000000000001</v>
      </c>
      <c r="J6" s="171"/>
      <c r="K6" s="131"/>
      <c r="L6" s="257"/>
      <c r="M6" s="161"/>
      <c r="N6" s="161"/>
      <c r="O6" s="160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1:45" ht="24.75" customHeight="1" x14ac:dyDescent="0.2">
      <c r="B7" s="24"/>
      <c r="C7" s="258" t="s">
        <v>6</v>
      </c>
      <c r="D7" s="331" t="s">
        <v>1268</v>
      </c>
      <c r="E7" s="331"/>
      <c r="F7" s="331"/>
      <c r="G7" s="331"/>
      <c r="H7" s="331"/>
      <c r="I7" s="331"/>
      <c r="J7" s="172"/>
      <c r="K7" s="8"/>
      <c r="L7" s="146"/>
      <c r="M7" s="147"/>
      <c r="N7" s="146"/>
      <c r="O7" s="162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8" spans="1:45" ht="22.5" x14ac:dyDescent="0.2">
      <c r="B8" s="24"/>
      <c r="C8" s="129" t="s">
        <v>2</v>
      </c>
      <c r="D8" s="120" t="s">
        <v>3</v>
      </c>
      <c r="E8" s="120" t="s">
        <v>51</v>
      </c>
      <c r="F8" s="120" t="s">
        <v>4</v>
      </c>
      <c r="G8" s="121" t="s">
        <v>95</v>
      </c>
      <c r="H8" s="208" t="s">
        <v>139</v>
      </c>
      <c r="I8" s="122" t="s">
        <v>5</v>
      </c>
      <c r="J8" s="48" t="s">
        <v>40</v>
      </c>
      <c r="K8" s="18"/>
      <c r="L8" s="163"/>
      <c r="M8" s="363"/>
      <c r="N8" s="363"/>
      <c r="O8" s="16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</row>
    <row r="9" spans="1:45" ht="13.5" thickBot="1" x14ac:dyDescent="0.25">
      <c r="B9" s="24"/>
      <c r="C9" s="249"/>
      <c r="D9" s="117"/>
      <c r="E9" s="117"/>
      <c r="F9" s="117"/>
      <c r="G9" s="118"/>
      <c r="H9" s="209"/>
      <c r="I9" s="119"/>
      <c r="J9" s="115"/>
      <c r="K9" s="18"/>
      <c r="L9" s="163"/>
      <c r="M9" s="363"/>
      <c r="N9" s="363"/>
      <c r="O9" s="16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</row>
    <row r="10" spans="1:45" ht="13.5" thickBot="1" x14ac:dyDescent="0.25">
      <c r="B10" s="339"/>
      <c r="C10" s="341" t="s">
        <v>123</v>
      </c>
      <c r="D10" s="342"/>
      <c r="E10" s="342"/>
      <c r="F10" s="342"/>
      <c r="G10" s="342"/>
      <c r="H10" s="342"/>
      <c r="I10" s="343"/>
      <c r="J10" s="347"/>
      <c r="K10" s="18"/>
      <c r="L10" s="163"/>
      <c r="M10" s="164"/>
      <c r="N10" s="163"/>
      <c r="O10" s="16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</row>
    <row r="11" spans="1:45" ht="13.5" thickBot="1" x14ac:dyDescent="0.25">
      <c r="B11" s="340"/>
      <c r="C11" s="344"/>
      <c r="D11" s="345"/>
      <c r="E11" s="345"/>
      <c r="F11" s="345"/>
      <c r="G11" s="345"/>
      <c r="H11" s="345"/>
      <c r="I11" s="346"/>
      <c r="J11" s="348"/>
      <c r="K11" s="18"/>
      <c r="L11" s="163"/>
      <c r="M11" s="164"/>
      <c r="N11" s="163"/>
      <c r="O11" s="16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</row>
    <row r="12" spans="1:45" s="10" customFormat="1" ht="13.5" thickBot="1" x14ac:dyDescent="0.25">
      <c r="A12" s="9"/>
      <c r="B12" s="108">
        <v>44287</v>
      </c>
      <c r="C12" s="221" t="s">
        <v>1</v>
      </c>
      <c r="D12" s="318" t="s">
        <v>41</v>
      </c>
      <c r="E12" s="319"/>
      <c r="F12" s="319"/>
      <c r="G12" s="319"/>
      <c r="H12" s="319"/>
      <c r="I12" s="320"/>
      <c r="J12" s="49"/>
      <c r="K12" s="132"/>
      <c r="L12" s="141"/>
      <c r="M12" s="93"/>
      <c r="N12" s="93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</row>
    <row r="13" spans="1:45" s="10" customFormat="1" x14ac:dyDescent="0.2">
      <c r="A13" s="9"/>
      <c r="B13" s="22" t="s">
        <v>126</v>
      </c>
      <c r="C13" s="218" t="s">
        <v>32</v>
      </c>
      <c r="D13" s="13" t="s">
        <v>127</v>
      </c>
      <c r="E13" s="21" t="s">
        <v>34</v>
      </c>
      <c r="F13" s="179">
        <v>3</v>
      </c>
      <c r="G13" s="40">
        <v>137.25</v>
      </c>
      <c r="H13" s="40">
        <f>TRUNC((G13*(1+$I$6)),2)</f>
        <v>177.14</v>
      </c>
      <c r="I13" s="20">
        <f>F13*H13</f>
        <v>531.41999999999996</v>
      </c>
      <c r="J13" s="124">
        <f>I13/$I$838</f>
        <v>8.8999999999999995E-4</v>
      </c>
      <c r="K13" s="132"/>
      <c r="L13" s="141"/>
      <c r="M13" s="93"/>
      <c r="N13" s="93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</row>
    <row r="14" spans="1:45" s="10" customFormat="1" ht="51" x14ac:dyDescent="0.2">
      <c r="A14" s="9"/>
      <c r="B14" s="22">
        <v>93208</v>
      </c>
      <c r="C14" s="218" t="s">
        <v>33</v>
      </c>
      <c r="D14" s="13" t="s">
        <v>1170</v>
      </c>
      <c r="E14" s="21" t="s">
        <v>34</v>
      </c>
      <c r="F14" s="179">
        <v>10</v>
      </c>
      <c r="G14" s="40">
        <v>67.099999999999994</v>
      </c>
      <c r="H14" s="40">
        <f>TRUNC((G14*(1+$I$6)),2)</f>
        <v>86.6</v>
      </c>
      <c r="I14" s="20">
        <f>F14*H14</f>
        <v>866</v>
      </c>
      <c r="J14" s="124">
        <f>I14/$I$838</f>
        <v>1.4499999999999999E-3</v>
      </c>
      <c r="K14" s="132"/>
      <c r="L14" s="94"/>
      <c r="M14" s="93"/>
      <c r="N14" s="93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10" customFormat="1" ht="25.5" x14ac:dyDescent="0.2">
      <c r="A15" s="9"/>
      <c r="B15" s="22">
        <v>98458</v>
      </c>
      <c r="C15" s="218" t="s">
        <v>100</v>
      </c>
      <c r="D15" s="13" t="s">
        <v>128</v>
      </c>
      <c r="E15" s="21" t="s">
        <v>34</v>
      </c>
      <c r="F15" s="179">
        <v>49.94</v>
      </c>
      <c r="G15" s="40">
        <v>77.7</v>
      </c>
      <c r="H15" s="40">
        <f t="shared" ref="H14:H15" si="0">TRUNC((G15*(1+$I$6)),2)</f>
        <v>100.28</v>
      </c>
      <c r="I15" s="20">
        <f>F15*H15</f>
        <v>5007.9799999999996</v>
      </c>
      <c r="J15" s="124">
        <f>I15/$I$838</f>
        <v>8.3700000000000007E-3</v>
      </c>
      <c r="K15" s="132"/>
      <c r="L15" s="94"/>
      <c r="M15" s="93"/>
      <c r="N15" s="93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32" customFormat="1" x14ac:dyDescent="0.2">
      <c r="A16" s="30"/>
      <c r="B16" s="81"/>
      <c r="C16" s="323" t="s">
        <v>52</v>
      </c>
      <c r="D16" s="321"/>
      <c r="E16" s="321"/>
      <c r="F16" s="321"/>
      <c r="G16" s="321"/>
      <c r="H16" s="322"/>
      <c r="I16" s="60">
        <f>SUM(I13:I15)</f>
        <v>6405.4</v>
      </c>
      <c r="J16" s="123">
        <f>I16/$I$838</f>
        <v>1.0710000000000001E-2</v>
      </c>
      <c r="K16" s="133"/>
      <c r="L16" s="92"/>
      <c r="M16" s="136"/>
      <c r="N16" s="136"/>
      <c r="O16" s="136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32" customFormat="1" ht="13.5" thickBot="1" x14ac:dyDescent="0.25">
      <c r="A17" s="34"/>
      <c r="B17" s="62"/>
      <c r="C17" s="78"/>
      <c r="D17" s="78"/>
      <c r="E17" s="78"/>
      <c r="F17" s="78"/>
      <c r="G17" s="78"/>
      <c r="H17" s="78"/>
      <c r="I17" s="204"/>
      <c r="J17" s="205"/>
      <c r="K17" s="133"/>
      <c r="L17" s="92"/>
      <c r="M17" s="136"/>
      <c r="N17" s="136"/>
      <c r="O17" s="136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32" customFormat="1" ht="13.5" thickBot="1" x14ac:dyDescent="0.25">
      <c r="A18" s="34"/>
      <c r="B18" s="108"/>
      <c r="C18" s="221" t="s">
        <v>9</v>
      </c>
      <c r="D18" s="318" t="s">
        <v>125</v>
      </c>
      <c r="E18" s="319"/>
      <c r="F18" s="319"/>
      <c r="G18" s="319"/>
      <c r="H18" s="319"/>
      <c r="I18" s="320"/>
      <c r="J18" s="49"/>
      <c r="K18" s="133"/>
      <c r="L18" s="92"/>
      <c r="M18" s="136"/>
      <c r="N18" s="136"/>
      <c r="O18" s="136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</row>
    <row r="19" spans="1:45" s="32" customFormat="1" ht="38.25" x14ac:dyDescent="0.2">
      <c r="A19" s="34"/>
      <c r="B19" s="22">
        <v>97647</v>
      </c>
      <c r="C19" s="218" t="s">
        <v>522</v>
      </c>
      <c r="D19" s="13" t="s">
        <v>132</v>
      </c>
      <c r="E19" s="21" t="s">
        <v>34</v>
      </c>
      <c r="F19" s="179">
        <v>377.28</v>
      </c>
      <c r="G19" s="40">
        <v>1.61</v>
      </c>
      <c r="H19" s="40">
        <f t="shared" ref="H19:H35" si="1">TRUNC((G19*(1+$I$6)),2)</f>
        <v>2.0699999999999998</v>
      </c>
      <c r="I19" s="20">
        <f>F19*H19</f>
        <v>780.97</v>
      </c>
      <c r="J19" s="124">
        <f t="shared" ref="J19:J36" si="2">I19/$I$838</f>
        <v>1.31E-3</v>
      </c>
      <c r="K19" s="133"/>
      <c r="L19" s="92"/>
      <c r="M19" s="136"/>
      <c r="N19" s="136"/>
      <c r="O19" s="136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</row>
    <row r="20" spans="1:45" s="32" customFormat="1" ht="38.25" x14ac:dyDescent="0.2">
      <c r="A20" s="34"/>
      <c r="B20" s="22">
        <v>97650</v>
      </c>
      <c r="C20" s="218" t="s">
        <v>523</v>
      </c>
      <c r="D20" s="13" t="s">
        <v>353</v>
      </c>
      <c r="E20" s="21" t="s">
        <v>34</v>
      </c>
      <c r="F20" s="179">
        <v>377.28</v>
      </c>
      <c r="G20" s="40">
        <v>3.46</v>
      </c>
      <c r="H20" s="40">
        <f t="shared" si="1"/>
        <v>4.46</v>
      </c>
      <c r="I20" s="20">
        <f>F20*H20</f>
        <v>1682.67</v>
      </c>
      <c r="J20" s="124">
        <f t="shared" si="2"/>
        <v>2.81E-3</v>
      </c>
      <c r="K20" s="133"/>
      <c r="L20" s="92"/>
      <c r="M20" s="136"/>
      <c r="N20" s="136"/>
      <c r="O20" s="136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</row>
    <row r="21" spans="1:45" s="32" customFormat="1" ht="25.5" x14ac:dyDescent="0.2">
      <c r="A21" s="34"/>
      <c r="B21" s="22">
        <v>97628</v>
      </c>
      <c r="C21" s="218" t="s">
        <v>525</v>
      </c>
      <c r="D21" s="13" t="s">
        <v>133</v>
      </c>
      <c r="E21" s="21" t="s">
        <v>36</v>
      </c>
      <c r="F21" s="179">
        <v>4.2</v>
      </c>
      <c r="G21" s="40">
        <v>123.49</v>
      </c>
      <c r="H21" s="40">
        <f t="shared" si="1"/>
        <v>159.38</v>
      </c>
      <c r="I21" s="20">
        <f>F21*H21</f>
        <v>669.4</v>
      </c>
      <c r="J21" s="124">
        <f t="shared" si="2"/>
        <v>1.1199999999999999E-3</v>
      </c>
      <c r="K21" s="133"/>
      <c r="L21" s="92"/>
      <c r="M21" s="136"/>
      <c r="N21" s="136"/>
      <c r="O21" s="136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45" s="32" customFormat="1" ht="25.5" x14ac:dyDescent="0.2">
      <c r="A22" s="34"/>
      <c r="B22" s="22">
        <v>97626</v>
      </c>
      <c r="C22" s="218" t="s">
        <v>526</v>
      </c>
      <c r="D22" s="13" t="s">
        <v>134</v>
      </c>
      <c r="E22" s="21" t="s">
        <v>36</v>
      </c>
      <c r="F22" s="179">
        <v>8.7799999999999994</v>
      </c>
      <c r="G22" s="40">
        <v>268.32</v>
      </c>
      <c r="H22" s="40">
        <f t="shared" si="1"/>
        <v>346.32</v>
      </c>
      <c r="I22" s="20">
        <f>F22*H22</f>
        <v>3040.69</v>
      </c>
      <c r="J22" s="124">
        <f t="shared" si="2"/>
        <v>5.0800000000000003E-3</v>
      </c>
      <c r="K22" s="133"/>
      <c r="L22" s="92"/>
      <c r="M22" s="136"/>
      <c r="N22" s="136"/>
      <c r="O22" s="136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45" s="32" customFormat="1" ht="25.5" x14ac:dyDescent="0.2">
      <c r="A23" s="34"/>
      <c r="B23" s="22">
        <v>97622</v>
      </c>
      <c r="C23" s="218" t="s">
        <v>527</v>
      </c>
      <c r="D23" s="13" t="s">
        <v>135</v>
      </c>
      <c r="E23" s="21" t="s">
        <v>36</v>
      </c>
      <c r="F23" s="179">
        <v>15.5</v>
      </c>
      <c r="G23" s="40">
        <v>24.98</v>
      </c>
      <c r="H23" s="40">
        <f t="shared" si="1"/>
        <v>32.24</v>
      </c>
      <c r="I23" s="20">
        <f>F23*H23</f>
        <v>499.72</v>
      </c>
      <c r="J23" s="124">
        <f t="shared" si="2"/>
        <v>8.4000000000000003E-4</v>
      </c>
      <c r="K23" s="133"/>
      <c r="L23" s="92"/>
      <c r="M23" s="136"/>
      <c r="N23" s="136"/>
      <c r="O23" s="136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45" s="32" customFormat="1" ht="25.5" x14ac:dyDescent="0.2">
      <c r="A24" s="34"/>
      <c r="B24" s="22">
        <v>97644</v>
      </c>
      <c r="C24" s="218" t="s">
        <v>528</v>
      </c>
      <c r="D24" s="13" t="s">
        <v>130</v>
      </c>
      <c r="E24" s="21" t="s">
        <v>34</v>
      </c>
      <c r="F24" s="179">
        <v>24.86</v>
      </c>
      <c r="G24" s="40">
        <v>4.1399999999999997</v>
      </c>
      <c r="H24" s="40">
        <f t="shared" si="1"/>
        <v>5.34</v>
      </c>
      <c r="I24" s="20">
        <f>F24*H24</f>
        <v>132.75</v>
      </c>
      <c r="J24" s="124">
        <f t="shared" si="2"/>
        <v>2.2000000000000001E-4</v>
      </c>
      <c r="K24" s="133"/>
      <c r="L24" s="92"/>
      <c r="M24" s="136"/>
      <c r="N24" s="136"/>
      <c r="O24" s="136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45" s="32" customFormat="1" ht="25.5" x14ac:dyDescent="0.2">
      <c r="A25" s="34"/>
      <c r="B25" s="22">
        <v>97645</v>
      </c>
      <c r="C25" s="218" t="s">
        <v>529</v>
      </c>
      <c r="D25" s="13" t="s">
        <v>519</v>
      </c>
      <c r="E25" s="21" t="s">
        <v>34</v>
      </c>
      <c r="F25" s="179">
        <v>45.49</v>
      </c>
      <c r="G25" s="40">
        <v>15.18</v>
      </c>
      <c r="H25" s="40">
        <f t="shared" si="1"/>
        <v>19.59</v>
      </c>
      <c r="I25" s="20">
        <f>F25*H25</f>
        <v>891.15</v>
      </c>
      <c r="J25" s="124">
        <f t="shared" si="2"/>
        <v>1.49E-3</v>
      </c>
      <c r="K25" s="133"/>
      <c r="L25" s="92"/>
      <c r="M25" s="136"/>
      <c r="N25" s="136"/>
      <c r="O25" s="136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</row>
    <row r="26" spans="1:45" s="32" customFormat="1" ht="25.5" x14ac:dyDescent="0.2">
      <c r="A26" s="34"/>
      <c r="B26" s="22">
        <v>97645</v>
      </c>
      <c r="C26" s="218" t="s">
        <v>530</v>
      </c>
      <c r="D26" s="13" t="s">
        <v>131</v>
      </c>
      <c r="E26" s="21" t="s">
        <v>34</v>
      </c>
      <c r="F26" s="179">
        <v>4.41</v>
      </c>
      <c r="G26" s="40">
        <v>15.18</v>
      </c>
      <c r="H26" s="40">
        <f t="shared" si="1"/>
        <v>19.59</v>
      </c>
      <c r="I26" s="20">
        <f>F26*H26</f>
        <v>86.39</v>
      </c>
      <c r="J26" s="124">
        <f t="shared" si="2"/>
        <v>1.3999999999999999E-4</v>
      </c>
      <c r="K26" s="133"/>
      <c r="L26" s="92"/>
      <c r="M26" s="136"/>
      <c r="N26" s="136"/>
      <c r="O26" s="136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</row>
    <row r="27" spans="1:45" s="32" customFormat="1" ht="25.5" x14ac:dyDescent="0.2">
      <c r="A27" s="34"/>
      <c r="B27" s="22">
        <v>97640</v>
      </c>
      <c r="C27" s="218" t="s">
        <v>531</v>
      </c>
      <c r="D27" s="13" t="s">
        <v>136</v>
      </c>
      <c r="E27" s="21" t="s">
        <v>34</v>
      </c>
      <c r="F27" s="179">
        <v>41.98</v>
      </c>
      <c r="G27" s="40">
        <v>0.75</v>
      </c>
      <c r="H27" s="40">
        <f t="shared" si="1"/>
        <v>0.96</v>
      </c>
      <c r="I27" s="20">
        <f>F27*H27</f>
        <v>40.299999999999997</v>
      </c>
      <c r="J27" s="124">
        <f t="shared" si="2"/>
        <v>6.9999999999999994E-5</v>
      </c>
      <c r="K27" s="133"/>
      <c r="L27" s="92"/>
      <c r="M27" s="136"/>
      <c r="N27" s="136"/>
      <c r="O27" s="136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</row>
    <row r="28" spans="1:45" s="32" customFormat="1" ht="25.5" x14ac:dyDescent="0.2">
      <c r="A28" s="34"/>
      <c r="B28" s="22">
        <v>97663</v>
      </c>
      <c r="C28" s="218" t="s">
        <v>532</v>
      </c>
      <c r="D28" s="13" t="s">
        <v>357</v>
      </c>
      <c r="E28" s="21" t="s">
        <v>35</v>
      </c>
      <c r="F28" s="179">
        <v>4</v>
      </c>
      <c r="G28" s="40">
        <v>5.53</v>
      </c>
      <c r="H28" s="40">
        <f t="shared" si="1"/>
        <v>7.13</v>
      </c>
      <c r="I28" s="20">
        <f>F28*H28</f>
        <v>28.52</v>
      </c>
      <c r="J28" s="124">
        <f t="shared" si="2"/>
        <v>5.0000000000000002E-5</v>
      </c>
      <c r="K28" s="133"/>
      <c r="L28" s="92"/>
      <c r="M28" s="136"/>
      <c r="N28" s="136"/>
      <c r="O28" s="136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</row>
    <row r="29" spans="1:45" s="32" customFormat="1" ht="38.25" x14ac:dyDescent="0.2">
      <c r="A29" s="34"/>
      <c r="B29" s="22">
        <v>97633</v>
      </c>
      <c r="C29" s="218" t="s">
        <v>533</v>
      </c>
      <c r="D29" s="13" t="s">
        <v>355</v>
      </c>
      <c r="E29" s="21" t="s">
        <v>34</v>
      </c>
      <c r="F29" s="179">
        <v>8.5399999999999991</v>
      </c>
      <c r="G29" s="40">
        <v>10.1</v>
      </c>
      <c r="H29" s="40">
        <f t="shared" si="1"/>
        <v>13.03</v>
      </c>
      <c r="I29" s="20">
        <f>F29*H29</f>
        <v>111.28</v>
      </c>
      <c r="J29" s="124">
        <f t="shared" si="2"/>
        <v>1.9000000000000001E-4</v>
      </c>
      <c r="K29" s="133"/>
      <c r="L29" s="92"/>
      <c r="M29" s="136"/>
      <c r="N29" s="136"/>
      <c r="O29" s="136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</row>
    <row r="30" spans="1:45" s="32" customFormat="1" ht="25.5" x14ac:dyDescent="0.2">
      <c r="A30" s="34"/>
      <c r="B30" s="22">
        <v>97628</v>
      </c>
      <c r="C30" s="218" t="s">
        <v>534</v>
      </c>
      <c r="D30" s="13" t="s">
        <v>391</v>
      </c>
      <c r="E30" s="21" t="s">
        <v>36</v>
      </c>
      <c r="F30" s="179">
        <v>3.69</v>
      </c>
      <c r="G30" s="40">
        <v>123.49</v>
      </c>
      <c r="H30" s="40">
        <f t="shared" si="1"/>
        <v>159.38</v>
      </c>
      <c r="I30" s="20">
        <f>F30*H30</f>
        <v>588.11</v>
      </c>
      <c r="J30" s="124">
        <f t="shared" si="2"/>
        <v>9.7999999999999997E-4</v>
      </c>
      <c r="K30" s="133"/>
      <c r="L30" s="92"/>
      <c r="M30" s="136"/>
      <c r="N30" s="136"/>
      <c r="O30" s="136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</row>
    <row r="31" spans="1:45" s="32" customFormat="1" ht="25.5" x14ac:dyDescent="0.2">
      <c r="A31" s="34"/>
      <c r="B31" s="22">
        <v>97661</v>
      </c>
      <c r="C31" s="218" t="s">
        <v>535</v>
      </c>
      <c r="D31" s="13" t="s">
        <v>145</v>
      </c>
      <c r="E31" s="21" t="s">
        <v>37</v>
      </c>
      <c r="F31" s="179">
        <v>250</v>
      </c>
      <c r="G31" s="40">
        <v>0.33</v>
      </c>
      <c r="H31" s="40">
        <f t="shared" si="1"/>
        <v>0.42</v>
      </c>
      <c r="I31" s="20">
        <f>F31*H31</f>
        <v>105</v>
      </c>
      <c r="J31" s="124">
        <f t="shared" si="2"/>
        <v>1.8000000000000001E-4</v>
      </c>
      <c r="K31" s="133"/>
      <c r="L31" s="92"/>
      <c r="M31" s="136"/>
      <c r="N31" s="136"/>
      <c r="O31" s="136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</row>
    <row r="32" spans="1:45" s="32" customFormat="1" x14ac:dyDescent="0.2">
      <c r="A32" s="34"/>
      <c r="B32" s="22">
        <v>97622</v>
      </c>
      <c r="C32" s="218" t="s">
        <v>536</v>
      </c>
      <c r="D32" s="13" t="s">
        <v>354</v>
      </c>
      <c r="E32" s="21" t="s">
        <v>36</v>
      </c>
      <c r="F32" s="179">
        <v>6</v>
      </c>
      <c r="G32" s="40">
        <v>24.98</v>
      </c>
      <c r="H32" s="40">
        <f t="shared" si="1"/>
        <v>32.24</v>
      </c>
      <c r="I32" s="20">
        <f>F32*H32</f>
        <v>193.44</v>
      </c>
      <c r="J32" s="124">
        <f t="shared" si="2"/>
        <v>3.2000000000000003E-4</v>
      </c>
      <c r="K32" s="133"/>
      <c r="L32" s="92"/>
      <c r="M32" s="136"/>
      <c r="N32" s="136"/>
      <c r="O32" s="136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</row>
    <row r="33" spans="1:45" s="32" customFormat="1" ht="25.5" x14ac:dyDescent="0.2">
      <c r="A33" s="34"/>
      <c r="B33" s="22">
        <v>97628</v>
      </c>
      <c r="C33" s="218" t="s">
        <v>537</v>
      </c>
      <c r="D33" s="13" t="s">
        <v>359</v>
      </c>
      <c r="E33" s="21" t="s">
        <v>36</v>
      </c>
      <c r="F33" s="179">
        <v>10.130000000000001</v>
      </c>
      <c r="G33" s="40">
        <v>123.49</v>
      </c>
      <c r="H33" s="40">
        <f t="shared" si="1"/>
        <v>159.38</v>
      </c>
      <c r="I33" s="20">
        <f>F33*H33</f>
        <v>1614.52</v>
      </c>
      <c r="J33" s="124">
        <f t="shared" si="2"/>
        <v>2.7000000000000001E-3</v>
      </c>
      <c r="K33" s="133"/>
      <c r="L33" s="92"/>
      <c r="M33" s="136"/>
      <c r="N33" s="136"/>
      <c r="O33" s="136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</row>
    <row r="34" spans="1:45" s="32" customFormat="1" ht="25.5" x14ac:dyDescent="0.2">
      <c r="A34" s="34"/>
      <c r="B34" s="22">
        <v>97918</v>
      </c>
      <c r="C34" s="218" t="s">
        <v>538</v>
      </c>
      <c r="D34" s="13" t="s">
        <v>362</v>
      </c>
      <c r="E34" s="21" t="s">
        <v>360</v>
      </c>
      <c r="F34" s="179">
        <f>(80.82)*1.45*15</f>
        <v>1757.84</v>
      </c>
      <c r="G34" s="40">
        <v>0.76</v>
      </c>
      <c r="H34" s="40">
        <f t="shared" si="1"/>
        <v>0.98</v>
      </c>
      <c r="I34" s="20">
        <f>F34*H34</f>
        <v>1722.68</v>
      </c>
      <c r="J34" s="124">
        <f t="shared" si="2"/>
        <v>2.8800000000000002E-3</v>
      </c>
      <c r="K34" s="133"/>
      <c r="L34" s="92"/>
      <c r="M34" s="136"/>
      <c r="N34" s="136"/>
      <c r="O34" s="136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5" s="32" customFormat="1" ht="38.25" x14ac:dyDescent="0.2">
      <c r="A35" s="34"/>
      <c r="B35" s="22">
        <v>100981</v>
      </c>
      <c r="C35" s="218" t="s">
        <v>539</v>
      </c>
      <c r="D35" s="13" t="s">
        <v>361</v>
      </c>
      <c r="E35" s="21" t="s">
        <v>36</v>
      </c>
      <c r="F35" s="179">
        <v>80.819999999999993</v>
      </c>
      <c r="G35" s="40">
        <v>3.59</v>
      </c>
      <c r="H35" s="40">
        <f t="shared" si="1"/>
        <v>4.63</v>
      </c>
      <c r="I35" s="20">
        <f>F35*H35</f>
        <v>374.2</v>
      </c>
      <c r="J35" s="124">
        <f t="shared" si="2"/>
        <v>6.3000000000000003E-4</v>
      </c>
      <c r="K35" s="133"/>
      <c r="L35" s="92"/>
      <c r="M35" s="136"/>
      <c r="N35" s="136"/>
      <c r="O35" s="136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</row>
    <row r="36" spans="1:45" s="32" customFormat="1" x14ac:dyDescent="0.2">
      <c r="A36" s="34"/>
      <c r="B36" s="81"/>
      <c r="C36" s="323" t="s">
        <v>67</v>
      </c>
      <c r="D36" s="321"/>
      <c r="E36" s="321"/>
      <c r="F36" s="321"/>
      <c r="G36" s="321"/>
      <c r="H36" s="322"/>
      <c r="I36" s="60">
        <f>SUM(I19:I35)</f>
        <v>12561.79</v>
      </c>
      <c r="J36" s="123">
        <f t="shared" si="2"/>
        <v>2.1000000000000001E-2</v>
      </c>
      <c r="K36" s="133"/>
      <c r="L36" s="92"/>
      <c r="M36" s="136"/>
      <c r="N36" s="136"/>
      <c r="O36" s="136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</row>
    <row r="37" spans="1:45" s="32" customFormat="1" ht="13.5" thickBot="1" x14ac:dyDescent="0.25">
      <c r="A37" s="34"/>
      <c r="B37" s="62"/>
      <c r="C37" s="78"/>
      <c r="D37" s="78"/>
      <c r="E37" s="78"/>
      <c r="F37" s="78"/>
      <c r="G37" s="78"/>
      <c r="H37" s="78"/>
      <c r="I37" s="106"/>
      <c r="J37" s="79"/>
      <c r="K37" s="133"/>
      <c r="L37" s="92"/>
      <c r="M37" s="136"/>
      <c r="N37" s="136"/>
      <c r="O37" s="136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</row>
    <row r="38" spans="1:45" s="32" customFormat="1" ht="13.5" thickBot="1" x14ac:dyDescent="0.25">
      <c r="A38" s="30"/>
      <c r="B38" s="87"/>
      <c r="C38" s="221" t="s">
        <v>10</v>
      </c>
      <c r="D38" s="318" t="s">
        <v>540</v>
      </c>
      <c r="E38" s="319"/>
      <c r="F38" s="319"/>
      <c r="G38" s="319"/>
      <c r="H38" s="319"/>
      <c r="I38" s="320"/>
      <c r="J38" s="49"/>
      <c r="K38" s="133"/>
      <c r="L38" s="92"/>
      <c r="M38" s="136"/>
      <c r="N38" s="136"/>
      <c r="O38" s="136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</row>
    <row r="39" spans="1:45" s="32" customFormat="1" x14ac:dyDescent="0.2">
      <c r="A39" s="30"/>
      <c r="B39" s="223"/>
      <c r="C39" s="225" t="s">
        <v>499</v>
      </c>
      <c r="D39" s="55" t="s">
        <v>500</v>
      </c>
      <c r="E39" s="56"/>
      <c r="F39" s="180"/>
      <c r="G39" s="57"/>
      <c r="H39" s="57"/>
      <c r="I39" s="58"/>
      <c r="J39" s="124"/>
      <c r="K39" s="133"/>
      <c r="L39" s="92"/>
      <c r="M39" s="136"/>
      <c r="N39" s="136"/>
      <c r="O39" s="136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</row>
    <row r="40" spans="1:45" s="32" customFormat="1" ht="25.5" x14ac:dyDescent="0.2">
      <c r="A40" s="30"/>
      <c r="B40" s="22">
        <v>99059</v>
      </c>
      <c r="C40" s="218" t="s">
        <v>541</v>
      </c>
      <c r="D40" s="12" t="s">
        <v>363</v>
      </c>
      <c r="E40" s="19" t="s">
        <v>37</v>
      </c>
      <c r="F40" s="179">
        <v>61.87</v>
      </c>
      <c r="G40" s="40">
        <v>31.39</v>
      </c>
      <c r="H40" s="40">
        <f t="shared" ref="H40:H46" si="3">TRUNC((G40*(1+$I$6)),2)</f>
        <v>40.51</v>
      </c>
      <c r="I40" s="20">
        <f>F40*H40</f>
        <v>2506.35</v>
      </c>
      <c r="J40" s="124">
        <f t="shared" ref="J40:J46" si="4">I40/$I$838</f>
        <v>4.1900000000000001E-3</v>
      </c>
      <c r="K40" s="133"/>
      <c r="L40" s="92"/>
      <c r="M40" s="136"/>
      <c r="N40" s="136"/>
      <c r="O40" s="136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5" s="32" customFormat="1" ht="51" x14ac:dyDescent="0.2">
      <c r="A41" s="30"/>
      <c r="B41" s="22">
        <v>100899</v>
      </c>
      <c r="C41" s="218" t="s">
        <v>542</v>
      </c>
      <c r="D41" s="12" t="s">
        <v>520</v>
      </c>
      <c r="E41" s="19" t="s">
        <v>37</v>
      </c>
      <c r="F41" s="179">
        <v>147</v>
      </c>
      <c r="G41" s="40">
        <v>39.299999999999997</v>
      </c>
      <c r="H41" s="40">
        <f t="shared" si="3"/>
        <v>50.72</v>
      </c>
      <c r="I41" s="20">
        <f>F41*H41</f>
        <v>7455.84</v>
      </c>
      <c r="J41" s="124">
        <f t="shared" si="4"/>
        <v>1.247E-2</v>
      </c>
      <c r="K41" s="133"/>
      <c r="L41" s="92"/>
      <c r="M41" s="136"/>
      <c r="N41" s="136"/>
      <c r="O41" s="136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</row>
    <row r="42" spans="1:45" s="32" customFormat="1" ht="25.5" x14ac:dyDescent="0.2">
      <c r="A42" s="30"/>
      <c r="B42" s="22">
        <v>96527</v>
      </c>
      <c r="C42" s="218" t="s">
        <v>543</v>
      </c>
      <c r="D42" s="12" t="s">
        <v>107</v>
      </c>
      <c r="E42" s="19" t="s">
        <v>36</v>
      </c>
      <c r="F42" s="179">
        <f>F43+F44</f>
        <v>16.100000000000001</v>
      </c>
      <c r="G42" s="40">
        <v>58.1</v>
      </c>
      <c r="H42" s="40">
        <f t="shared" si="3"/>
        <v>74.98</v>
      </c>
      <c r="I42" s="20">
        <f>F42*H42</f>
        <v>1207.18</v>
      </c>
      <c r="J42" s="124">
        <f t="shared" si="4"/>
        <v>2.0200000000000001E-3</v>
      </c>
      <c r="K42" s="133"/>
      <c r="L42" s="92"/>
      <c r="M42" s="136"/>
      <c r="N42" s="136"/>
      <c r="O42" s="136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</row>
    <row r="43" spans="1:45" s="32" customFormat="1" ht="51" x14ac:dyDescent="0.2">
      <c r="A43" s="30"/>
      <c r="B43" s="105" t="s">
        <v>1233</v>
      </c>
      <c r="C43" s="218" t="s">
        <v>544</v>
      </c>
      <c r="D43" s="12" t="s">
        <v>510</v>
      </c>
      <c r="E43" s="19" t="s">
        <v>36</v>
      </c>
      <c r="F43" s="179">
        <v>10.3</v>
      </c>
      <c r="G43" s="40">
        <v>426.63</v>
      </c>
      <c r="H43" s="40">
        <f t="shared" si="3"/>
        <v>550.65</v>
      </c>
      <c r="I43" s="20">
        <f>F43*H43</f>
        <v>5671.7</v>
      </c>
      <c r="J43" s="124">
        <f t="shared" si="4"/>
        <v>9.4800000000000006E-3</v>
      </c>
      <c r="K43" s="133"/>
      <c r="L43" s="92"/>
      <c r="M43" s="136"/>
      <c r="N43" s="136"/>
      <c r="O43" s="136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5" s="32" customFormat="1" ht="51" x14ac:dyDescent="0.2">
      <c r="A44" s="30"/>
      <c r="B44" s="105" t="s">
        <v>1234</v>
      </c>
      <c r="C44" s="218" t="s">
        <v>545</v>
      </c>
      <c r="D44" s="12" t="s">
        <v>511</v>
      </c>
      <c r="E44" s="19" t="s">
        <v>36</v>
      </c>
      <c r="F44" s="179">
        <v>5.8</v>
      </c>
      <c r="G44" s="40">
        <v>1138.8499999999999</v>
      </c>
      <c r="H44" s="40">
        <f t="shared" si="3"/>
        <v>1469.91</v>
      </c>
      <c r="I44" s="20">
        <f>F44*H44</f>
        <v>8525.48</v>
      </c>
      <c r="J44" s="124">
        <f t="shared" si="4"/>
        <v>1.4250000000000001E-2</v>
      </c>
      <c r="K44" s="133"/>
      <c r="L44" s="92"/>
      <c r="M44" s="136"/>
      <c r="N44" s="136"/>
      <c r="O44" s="136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5" s="32" customFormat="1" ht="25.5" x14ac:dyDescent="0.2">
      <c r="A45" s="30"/>
      <c r="B45" s="22" t="s">
        <v>1230</v>
      </c>
      <c r="C45" s="218" t="s">
        <v>546</v>
      </c>
      <c r="D45" s="12" t="s">
        <v>62</v>
      </c>
      <c r="E45" s="21" t="s">
        <v>34</v>
      </c>
      <c r="F45" s="179">
        <v>50.31</v>
      </c>
      <c r="G45" s="40">
        <v>5.7</v>
      </c>
      <c r="H45" s="40">
        <f t="shared" si="3"/>
        <v>7.35</v>
      </c>
      <c r="I45" s="20">
        <f>F45*H45</f>
        <v>369.78</v>
      </c>
      <c r="J45" s="124">
        <f t="shared" si="4"/>
        <v>6.2E-4</v>
      </c>
      <c r="K45" s="133"/>
      <c r="L45" s="92"/>
      <c r="M45" s="136"/>
      <c r="N45" s="136"/>
      <c r="O45" s="136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5" s="32" customFormat="1" ht="38.25" x14ac:dyDescent="0.2">
      <c r="A46" s="30"/>
      <c r="B46" s="22" t="s">
        <v>1234</v>
      </c>
      <c r="C46" s="218" t="s">
        <v>547</v>
      </c>
      <c r="D46" s="12" t="s">
        <v>512</v>
      </c>
      <c r="E46" s="19" t="s">
        <v>36</v>
      </c>
      <c r="F46" s="179">
        <f>2.5</f>
        <v>2.5</v>
      </c>
      <c r="G46" s="40">
        <v>1138.8499999999999</v>
      </c>
      <c r="H46" s="40">
        <f t="shared" si="3"/>
        <v>1469.91</v>
      </c>
      <c r="I46" s="20">
        <f>F46*H46</f>
        <v>3674.78</v>
      </c>
      <c r="J46" s="124">
        <f t="shared" si="4"/>
        <v>6.1399999999999996E-3</v>
      </c>
      <c r="K46" s="133"/>
      <c r="L46" s="92"/>
      <c r="M46" s="136"/>
      <c r="N46" s="136"/>
      <c r="O46" s="136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5" s="32" customFormat="1" x14ac:dyDescent="0.2">
      <c r="A47" s="30"/>
      <c r="B47" s="22"/>
      <c r="C47" s="247"/>
      <c r="D47" s="316" t="s">
        <v>505</v>
      </c>
      <c r="E47" s="316"/>
      <c r="F47" s="316"/>
      <c r="G47" s="316"/>
      <c r="H47" s="317"/>
      <c r="I47" s="109">
        <f>SUM(I40:I46)</f>
        <v>29411.11</v>
      </c>
      <c r="J47" s="124"/>
      <c r="K47" s="133"/>
      <c r="L47" s="92"/>
      <c r="M47" s="136"/>
      <c r="N47" s="136"/>
      <c r="O47" s="136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5" s="32" customFormat="1" x14ac:dyDescent="0.2">
      <c r="A48" s="30"/>
      <c r="B48" s="22"/>
      <c r="C48" s="225" t="s">
        <v>548</v>
      </c>
      <c r="D48" s="55" t="s">
        <v>71</v>
      </c>
      <c r="E48" s="56"/>
      <c r="F48" s="180"/>
      <c r="G48" s="57"/>
      <c r="H48" s="57"/>
      <c r="I48" s="58"/>
      <c r="J48" s="124"/>
      <c r="K48" s="133"/>
      <c r="L48" s="92"/>
      <c r="M48" s="136"/>
      <c r="N48" s="136"/>
      <c r="O48" s="136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45" s="32" customFormat="1" ht="51" x14ac:dyDescent="0.2">
      <c r="A49" s="30"/>
      <c r="B49" s="22" t="s">
        <v>1234</v>
      </c>
      <c r="C49" s="218" t="s">
        <v>549</v>
      </c>
      <c r="D49" s="12" t="s">
        <v>513</v>
      </c>
      <c r="E49" s="19" t="s">
        <v>36</v>
      </c>
      <c r="F49" s="179">
        <v>10.199999999999999</v>
      </c>
      <c r="G49" s="40">
        <v>1138.8499999999999</v>
      </c>
      <c r="H49" s="40">
        <f t="shared" ref="H49:H51" si="5">TRUNC((G49*(1+$I$6)),2)</f>
        <v>1469.91</v>
      </c>
      <c r="I49" s="20">
        <f>F49*H49</f>
        <v>14993.08</v>
      </c>
      <c r="J49" s="124">
        <f>I49/$I$838</f>
        <v>2.5069999999999999E-2</v>
      </c>
      <c r="K49" s="133"/>
      <c r="L49" s="92"/>
      <c r="M49" s="136"/>
      <c r="N49" s="136"/>
      <c r="O49" s="136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45" s="32" customFormat="1" ht="38.25" x14ac:dyDescent="0.2">
      <c r="A50" s="30"/>
      <c r="B50" s="22">
        <v>101964</v>
      </c>
      <c r="C50" s="218" t="s">
        <v>550</v>
      </c>
      <c r="D50" s="13" t="s">
        <v>1208</v>
      </c>
      <c r="E50" s="21" t="s">
        <v>34</v>
      </c>
      <c r="F50" s="179">
        <f>24.8-0.64</f>
        <v>24.16</v>
      </c>
      <c r="G50" s="40">
        <v>90.91</v>
      </c>
      <c r="H50" s="40">
        <f t="shared" si="5"/>
        <v>117.33</v>
      </c>
      <c r="I50" s="20">
        <f>F50*H50</f>
        <v>2834.69</v>
      </c>
      <c r="J50" s="124">
        <f>I50/$I$838</f>
        <v>4.7400000000000003E-3</v>
      </c>
      <c r="K50" s="133"/>
      <c r="L50" s="92"/>
      <c r="M50" s="136"/>
      <c r="N50" s="136"/>
      <c r="O50" s="136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45" s="32" customFormat="1" ht="51" x14ac:dyDescent="0.2">
      <c r="A51" s="30"/>
      <c r="B51" s="22">
        <v>87690</v>
      </c>
      <c r="C51" s="218" t="s">
        <v>551</v>
      </c>
      <c r="D51" s="12" t="s">
        <v>502</v>
      </c>
      <c r="E51" s="21" t="s">
        <v>34</v>
      </c>
      <c r="F51" s="179">
        <f>F50</f>
        <v>24.16</v>
      </c>
      <c r="G51" s="40">
        <v>23.44</v>
      </c>
      <c r="H51" s="40">
        <f t="shared" si="5"/>
        <v>30.25</v>
      </c>
      <c r="I51" s="20">
        <f>F51*H51</f>
        <v>730.84</v>
      </c>
      <c r="J51" s="124">
        <f>I51/$I$838</f>
        <v>1.2199999999999999E-3</v>
      </c>
      <c r="K51" s="133"/>
      <c r="L51" s="92"/>
      <c r="M51" s="136"/>
      <c r="N51" s="136"/>
      <c r="O51" s="136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45" s="32" customFormat="1" x14ac:dyDescent="0.2">
      <c r="A52" s="30"/>
      <c r="B52" s="22"/>
      <c r="C52" s="247"/>
      <c r="D52" s="316" t="s">
        <v>506</v>
      </c>
      <c r="E52" s="316"/>
      <c r="F52" s="316"/>
      <c r="G52" s="316"/>
      <c r="H52" s="317"/>
      <c r="I52" s="109">
        <f>SUM(I49:I51)</f>
        <v>18558.61</v>
      </c>
      <c r="J52" s="124"/>
      <c r="K52" s="133"/>
      <c r="L52" s="92"/>
      <c r="M52" s="136"/>
      <c r="N52" s="136"/>
      <c r="O52" s="136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</row>
    <row r="53" spans="1:45" s="32" customFormat="1" x14ac:dyDescent="0.2">
      <c r="A53" s="30"/>
      <c r="B53" s="22"/>
      <c r="C53" s="225" t="s">
        <v>552</v>
      </c>
      <c r="D53" s="55" t="s">
        <v>417</v>
      </c>
      <c r="E53" s="56"/>
      <c r="F53" s="180"/>
      <c r="G53" s="57"/>
      <c r="H53" s="57"/>
      <c r="I53" s="58"/>
      <c r="J53" s="124"/>
      <c r="K53" s="133"/>
      <c r="L53" s="92"/>
      <c r="M53" s="136"/>
      <c r="N53" s="136"/>
      <c r="O53" s="136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32" customFormat="1" ht="51" x14ac:dyDescent="0.2">
      <c r="A54" s="30"/>
      <c r="B54" s="22" t="s">
        <v>1234</v>
      </c>
      <c r="C54" s="218" t="s">
        <v>553</v>
      </c>
      <c r="D54" s="12" t="s">
        <v>514</v>
      </c>
      <c r="E54" s="19" t="s">
        <v>36</v>
      </c>
      <c r="F54" s="179">
        <f>1.3+0.13</f>
        <v>1.43</v>
      </c>
      <c r="G54" s="40">
        <v>1138.8499999999999</v>
      </c>
      <c r="H54" s="40">
        <f t="shared" ref="H54:H55" si="6">TRUNC((G54*(1+$I$6)),2)</f>
        <v>1469.91</v>
      </c>
      <c r="I54" s="20">
        <f>F54*H54</f>
        <v>2101.9699999999998</v>
      </c>
      <c r="J54" s="124">
        <f>I54/$I$838</f>
        <v>3.5100000000000001E-3</v>
      </c>
      <c r="K54" s="133"/>
      <c r="L54" s="92"/>
      <c r="M54" s="136"/>
      <c r="N54" s="136"/>
      <c r="O54" s="136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</row>
    <row r="55" spans="1:45" s="32" customFormat="1" ht="63.75" x14ac:dyDescent="0.2">
      <c r="A55" s="30"/>
      <c r="B55" s="22" t="s">
        <v>1234</v>
      </c>
      <c r="C55" s="218" t="s">
        <v>554</v>
      </c>
      <c r="D55" s="12" t="s">
        <v>515</v>
      </c>
      <c r="E55" s="19" t="s">
        <v>36</v>
      </c>
      <c r="F55" s="179">
        <f>3+0.8</f>
        <v>3.8</v>
      </c>
      <c r="G55" s="40">
        <v>1138.8499999999999</v>
      </c>
      <c r="H55" s="40">
        <f t="shared" si="6"/>
        <v>1469.91</v>
      </c>
      <c r="I55" s="20">
        <f>F55*H55</f>
        <v>5585.66</v>
      </c>
      <c r="J55" s="124">
        <f>I55/$I$838</f>
        <v>9.3399999999999993E-3</v>
      </c>
      <c r="K55" s="133"/>
      <c r="L55" s="92"/>
      <c r="M55" s="136"/>
      <c r="N55" s="136"/>
      <c r="O55" s="136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s="32" customFormat="1" x14ac:dyDescent="0.2">
      <c r="A56" s="30"/>
      <c r="B56" s="22"/>
      <c r="C56" s="247"/>
      <c r="D56" s="316" t="s">
        <v>507</v>
      </c>
      <c r="E56" s="316"/>
      <c r="F56" s="316"/>
      <c r="G56" s="316"/>
      <c r="H56" s="317"/>
      <c r="I56" s="109">
        <f>SUM(I54:I55)</f>
        <v>7687.63</v>
      </c>
      <c r="J56" s="124"/>
      <c r="K56" s="133"/>
      <c r="L56" s="92"/>
      <c r="M56" s="136"/>
      <c r="N56" s="136"/>
      <c r="O56" s="136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1:45" s="32" customFormat="1" x14ac:dyDescent="0.2">
      <c r="A57" s="30"/>
      <c r="B57" s="22"/>
      <c r="C57" s="225" t="s">
        <v>555</v>
      </c>
      <c r="D57" s="55" t="s">
        <v>504</v>
      </c>
      <c r="E57" s="56"/>
      <c r="F57" s="180"/>
      <c r="G57" s="57"/>
      <c r="H57" s="57"/>
      <c r="I57" s="58"/>
      <c r="J57" s="124"/>
      <c r="K57" s="133"/>
      <c r="L57" s="92"/>
      <c r="M57" s="136"/>
      <c r="N57" s="136"/>
      <c r="O57" s="136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</row>
    <row r="58" spans="1:45" s="32" customFormat="1" ht="38.25" x14ac:dyDescent="0.2">
      <c r="A58" s="30"/>
      <c r="B58" s="22" t="s">
        <v>1234</v>
      </c>
      <c r="C58" s="218" t="s">
        <v>556</v>
      </c>
      <c r="D58" s="12" t="s">
        <v>503</v>
      </c>
      <c r="E58" s="19" t="s">
        <v>36</v>
      </c>
      <c r="F58" s="179">
        <v>0.3</v>
      </c>
      <c r="G58" s="40">
        <v>1138.8499999999999</v>
      </c>
      <c r="H58" s="40">
        <f t="shared" ref="H58:H59" si="7">TRUNC((G58*(1+$I$6)),2)</f>
        <v>1469.91</v>
      </c>
      <c r="I58" s="20">
        <f>F58*H58</f>
        <v>440.97</v>
      </c>
      <c r="J58" s="124">
        <f>I58/$I$838</f>
        <v>7.3999999999999999E-4</v>
      </c>
      <c r="K58" s="133"/>
      <c r="L58" s="92"/>
      <c r="M58" s="136"/>
      <c r="N58" s="136"/>
      <c r="O58" s="136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</row>
    <row r="59" spans="1:45" s="32" customFormat="1" ht="51" x14ac:dyDescent="0.2">
      <c r="A59" s="30"/>
      <c r="B59" s="22" t="s">
        <v>1234</v>
      </c>
      <c r="C59" s="218" t="s">
        <v>557</v>
      </c>
      <c r="D59" s="12" t="s">
        <v>513</v>
      </c>
      <c r="E59" s="19" t="s">
        <v>36</v>
      </c>
      <c r="F59" s="179">
        <v>0.8</v>
      </c>
      <c r="G59" s="40">
        <v>1138.8499999999999</v>
      </c>
      <c r="H59" s="40">
        <f t="shared" si="7"/>
        <v>1469.91</v>
      </c>
      <c r="I59" s="20">
        <f>F59*H59</f>
        <v>1175.93</v>
      </c>
      <c r="J59" s="124">
        <f>I59/$I$838</f>
        <v>1.97E-3</v>
      </c>
      <c r="K59" s="133"/>
      <c r="L59" s="92"/>
      <c r="M59" s="136"/>
      <c r="N59" s="136"/>
      <c r="O59" s="136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</row>
    <row r="60" spans="1:45" s="32" customFormat="1" x14ac:dyDescent="0.2">
      <c r="A60" s="30"/>
      <c r="B60" s="81"/>
      <c r="C60" s="247"/>
      <c r="D60" s="316" t="s">
        <v>508</v>
      </c>
      <c r="E60" s="316"/>
      <c r="F60" s="316"/>
      <c r="G60" s="316"/>
      <c r="H60" s="317"/>
      <c r="I60" s="109">
        <f>SUM(I58:I59)</f>
        <v>1616.9</v>
      </c>
      <c r="J60" s="124"/>
      <c r="K60" s="133"/>
      <c r="L60" s="92"/>
      <c r="M60" s="136"/>
      <c r="N60" s="136"/>
      <c r="O60" s="136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</row>
    <row r="61" spans="1:45" s="32" customFormat="1" x14ac:dyDescent="0.2">
      <c r="A61" s="30"/>
      <c r="B61" s="81"/>
      <c r="C61" s="225" t="s">
        <v>558</v>
      </c>
      <c r="D61" s="55" t="s">
        <v>501</v>
      </c>
      <c r="E61" s="56"/>
      <c r="F61" s="180"/>
      <c r="G61" s="57"/>
      <c r="H61" s="57"/>
      <c r="I61" s="58"/>
      <c r="J61" s="124"/>
      <c r="K61" s="133"/>
      <c r="L61" s="92"/>
      <c r="M61" s="136"/>
      <c r="N61" s="136"/>
      <c r="O61" s="136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</row>
    <row r="62" spans="1:45" s="32" customFormat="1" ht="51" x14ac:dyDescent="0.2">
      <c r="A62" s="30"/>
      <c r="B62" s="81">
        <v>93186</v>
      </c>
      <c r="C62" s="218" t="s">
        <v>559</v>
      </c>
      <c r="D62" s="12" t="s">
        <v>448</v>
      </c>
      <c r="E62" s="21" t="s">
        <v>37</v>
      </c>
      <c r="F62" s="179">
        <f>1.4+1.4</f>
        <v>2.8</v>
      </c>
      <c r="G62" s="40">
        <v>49.15</v>
      </c>
      <c r="H62" s="40">
        <f t="shared" ref="H62:H67" si="8">TRUNC((G62*(1+$I$6)),2)</f>
        <v>63.43</v>
      </c>
      <c r="I62" s="20">
        <f>F62*H62</f>
        <v>177.6</v>
      </c>
      <c r="J62" s="124">
        <f t="shared" ref="J62:J67" si="9">I62/$I$838</f>
        <v>2.9999999999999997E-4</v>
      </c>
      <c r="K62" s="133"/>
      <c r="L62" s="92"/>
      <c r="M62" s="136"/>
      <c r="N62" s="136"/>
      <c r="O62" s="136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</row>
    <row r="63" spans="1:45" s="32" customFormat="1" ht="51" x14ac:dyDescent="0.2">
      <c r="A63" s="30"/>
      <c r="B63" s="81">
        <v>93196</v>
      </c>
      <c r="C63" s="218" t="s">
        <v>560</v>
      </c>
      <c r="D63" s="12" t="s">
        <v>449</v>
      </c>
      <c r="E63" s="21" t="s">
        <v>37</v>
      </c>
      <c r="F63" s="179">
        <f>1.4+1.4</f>
        <v>2.8</v>
      </c>
      <c r="G63" s="40">
        <v>48.1</v>
      </c>
      <c r="H63" s="40">
        <f t="shared" si="8"/>
        <v>62.08</v>
      </c>
      <c r="I63" s="20">
        <f>F63*H63</f>
        <v>173.82</v>
      </c>
      <c r="J63" s="124">
        <f t="shared" si="9"/>
        <v>2.9E-4</v>
      </c>
      <c r="K63" s="133"/>
      <c r="L63" s="92"/>
      <c r="M63" s="136"/>
      <c r="N63" s="136"/>
      <c r="O63" s="136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</row>
    <row r="64" spans="1:45" s="32" customFormat="1" ht="38.25" x14ac:dyDescent="0.2">
      <c r="A64" s="30"/>
      <c r="B64" s="81">
        <v>93187</v>
      </c>
      <c r="C64" s="218" t="s">
        <v>561</v>
      </c>
      <c r="D64" s="12" t="s">
        <v>450</v>
      </c>
      <c r="E64" s="21" t="s">
        <v>37</v>
      </c>
      <c r="F64" s="179">
        <v>25</v>
      </c>
      <c r="G64" s="40">
        <v>56.96</v>
      </c>
      <c r="H64" s="40">
        <f t="shared" si="8"/>
        <v>73.510000000000005</v>
      </c>
      <c r="I64" s="20">
        <f>F64*H64</f>
        <v>1837.75</v>
      </c>
      <c r="J64" s="124">
        <f t="shared" si="9"/>
        <v>3.0699999999999998E-3</v>
      </c>
      <c r="K64" s="133"/>
      <c r="L64" s="92"/>
      <c r="M64" s="136"/>
      <c r="N64" s="136"/>
      <c r="O64" s="136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</row>
    <row r="65" spans="1:45" s="32" customFormat="1" ht="38.25" x14ac:dyDescent="0.2">
      <c r="A65" s="30"/>
      <c r="B65" s="81">
        <v>93197</v>
      </c>
      <c r="C65" s="218" t="s">
        <v>562</v>
      </c>
      <c r="D65" s="12" t="s">
        <v>451</v>
      </c>
      <c r="E65" s="21" t="s">
        <v>37</v>
      </c>
      <c r="F65" s="179">
        <v>25</v>
      </c>
      <c r="G65" s="40">
        <v>53.86</v>
      </c>
      <c r="H65" s="40">
        <f t="shared" si="8"/>
        <v>69.510000000000005</v>
      </c>
      <c r="I65" s="20">
        <f>F65*H65</f>
        <v>1737.75</v>
      </c>
      <c r="J65" s="124">
        <f t="shared" si="9"/>
        <v>2.9099999999999998E-3</v>
      </c>
      <c r="K65" s="133"/>
      <c r="L65" s="92"/>
      <c r="M65" s="136"/>
      <c r="N65" s="136"/>
      <c r="O65" s="136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</row>
    <row r="66" spans="1:45" s="32" customFormat="1" ht="38.25" x14ac:dyDescent="0.2">
      <c r="A66" s="30"/>
      <c r="B66" s="81">
        <v>93188</v>
      </c>
      <c r="C66" s="218" t="s">
        <v>563</v>
      </c>
      <c r="D66" s="12" t="s">
        <v>452</v>
      </c>
      <c r="E66" s="21" t="s">
        <v>37</v>
      </c>
      <c r="F66" s="179">
        <v>11.2</v>
      </c>
      <c r="G66" s="40">
        <v>44.35</v>
      </c>
      <c r="H66" s="40">
        <f t="shared" si="8"/>
        <v>57.24</v>
      </c>
      <c r="I66" s="20">
        <f>F66*H66</f>
        <v>641.09</v>
      </c>
      <c r="J66" s="124">
        <f t="shared" si="9"/>
        <v>1.07E-3</v>
      </c>
      <c r="K66" s="133"/>
      <c r="L66" s="92"/>
      <c r="M66" s="136"/>
      <c r="N66" s="136"/>
      <c r="O66" s="136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</row>
    <row r="67" spans="1:45" s="32" customFormat="1" ht="38.25" x14ac:dyDescent="0.2">
      <c r="A67" s="30"/>
      <c r="B67" s="81">
        <v>93189</v>
      </c>
      <c r="C67" s="218" t="s">
        <v>564</v>
      </c>
      <c r="D67" s="12" t="s">
        <v>453</v>
      </c>
      <c r="E67" s="21" t="s">
        <v>37</v>
      </c>
      <c r="F67" s="179">
        <v>11.4</v>
      </c>
      <c r="G67" s="40">
        <v>57.26</v>
      </c>
      <c r="H67" s="40">
        <f t="shared" si="8"/>
        <v>73.900000000000006</v>
      </c>
      <c r="I67" s="20">
        <f>F67*H67</f>
        <v>842.46</v>
      </c>
      <c r="J67" s="124">
        <f t="shared" si="9"/>
        <v>1.41E-3</v>
      </c>
      <c r="K67" s="133"/>
      <c r="L67" s="92"/>
      <c r="M67" s="136"/>
      <c r="N67" s="136"/>
      <c r="O67" s="136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</row>
    <row r="68" spans="1:45" s="32" customFormat="1" x14ac:dyDescent="0.2">
      <c r="A68" s="34"/>
      <c r="B68" s="81"/>
      <c r="C68" s="247"/>
      <c r="D68" s="316" t="s">
        <v>509</v>
      </c>
      <c r="E68" s="316"/>
      <c r="F68" s="316"/>
      <c r="G68" s="316"/>
      <c r="H68" s="317"/>
      <c r="I68" s="109">
        <f>SUM(I62:I67)</f>
        <v>5410.47</v>
      </c>
      <c r="J68" s="124"/>
      <c r="K68" s="133"/>
      <c r="L68" s="92"/>
      <c r="M68" s="136"/>
      <c r="N68" s="136"/>
      <c r="O68" s="136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</row>
    <row r="69" spans="1:45" s="32" customFormat="1" x14ac:dyDescent="0.2">
      <c r="A69" s="34"/>
      <c r="B69" s="81"/>
      <c r="C69" s="321" t="s">
        <v>69</v>
      </c>
      <c r="D69" s="321"/>
      <c r="E69" s="321"/>
      <c r="F69" s="321"/>
      <c r="G69" s="321"/>
      <c r="H69" s="322"/>
      <c r="I69" s="60">
        <f>SUM(I47,I52,I56,I60,I68)</f>
        <v>62684.72</v>
      </c>
      <c r="J69" s="123">
        <f>I69/$I$838</f>
        <v>0.1048</v>
      </c>
      <c r="K69" s="133"/>
      <c r="L69" s="92"/>
      <c r="M69" s="136"/>
      <c r="N69" s="136"/>
      <c r="O69" s="136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</row>
    <row r="70" spans="1:45" s="32" customFormat="1" ht="13.5" thickBot="1" x14ac:dyDescent="0.25">
      <c r="A70" s="34"/>
      <c r="B70" s="62"/>
      <c r="C70" s="78"/>
      <c r="D70" s="78"/>
      <c r="E70" s="78"/>
      <c r="F70" s="78"/>
      <c r="G70" s="78"/>
      <c r="H70" s="78"/>
      <c r="I70" s="106"/>
      <c r="J70" s="79"/>
      <c r="K70" s="133"/>
      <c r="L70" s="92"/>
      <c r="M70" s="136"/>
      <c r="N70" s="136"/>
      <c r="O70" s="136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</row>
    <row r="71" spans="1:45" s="32" customFormat="1" ht="13.5" thickBot="1" x14ac:dyDescent="0.25">
      <c r="A71" s="30"/>
      <c r="B71" s="22"/>
      <c r="C71" s="221" t="s">
        <v>11</v>
      </c>
      <c r="D71" s="318" t="s">
        <v>68</v>
      </c>
      <c r="E71" s="319"/>
      <c r="F71" s="319"/>
      <c r="G71" s="319"/>
      <c r="H71" s="319"/>
      <c r="I71" s="320"/>
      <c r="J71" s="49"/>
      <c r="K71" s="133"/>
      <c r="L71" s="92"/>
      <c r="M71" s="136"/>
      <c r="N71" s="136"/>
      <c r="O71" s="136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</row>
    <row r="72" spans="1:45" s="32" customFormat="1" ht="51" x14ac:dyDescent="0.2">
      <c r="A72" s="30"/>
      <c r="B72" s="22">
        <v>87509</v>
      </c>
      <c r="C72" s="218" t="s">
        <v>565</v>
      </c>
      <c r="D72" s="13" t="s">
        <v>287</v>
      </c>
      <c r="E72" s="21" t="s">
        <v>34</v>
      </c>
      <c r="F72" s="179">
        <v>226.43</v>
      </c>
      <c r="G72" s="40">
        <v>73.62</v>
      </c>
      <c r="H72" s="40">
        <f t="shared" ref="H72:H74" si="10">TRUNC((G72*(1+$I$6)),2)</f>
        <v>95.02</v>
      </c>
      <c r="I72" s="20">
        <f>F72*H72</f>
        <v>21515.38</v>
      </c>
      <c r="J72" s="124">
        <f>I72/$I$838</f>
        <v>3.5970000000000002E-2</v>
      </c>
      <c r="K72" s="133"/>
      <c r="L72" s="92"/>
      <c r="M72" s="136"/>
      <c r="N72" s="136"/>
      <c r="O72" s="136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</row>
    <row r="73" spans="1:45" s="32" customFormat="1" ht="63.75" x14ac:dyDescent="0.2">
      <c r="A73" s="34"/>
      <c r="B73" s="22">
        <v>87508</v>
      </c>
      <c r="C73" s="218" t="s">
        <v>566</v>
      </c>
      <c r="D73" s="13" t="s">
        <v>288</v>
      </c>
      <c r="E73" s="21" t="s">
        <v>34</v>
      </c>
      <c r="F73" s="179">
        <v>52.36</v>
      </c>
      <c r="G73" s="40">
        <v>48.51</v>
      </c>
      <c r="H73" s="40">
        <f t="shared" si="10"/>
        <v>62.61</v>
      </c>
      <c r="I73" s="20">
        <f>F73*H73</f>
        <v>3278.26</v>
      </c>
      <c r="J73" s="124">
        <f>I73/$I$838</f>
        <v>5.4799999999999996E-3</v>
      </c>
      <c r="K73" s="133"/>
      <c r="L73" s="92"/>
      <c r="M73" s="136"/>
      <c r="N73" s="136"/>
      <c r="O73" s="136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</row>
    <row r="74" spans="1:45" s="32" customFormat="1" ht="51" x14ac:dyDescent="0.2">
      <c r="A74" s="34"/>
      <c r="B74" s="22">
        <v>87508</v>
      </c>
      <c r="C74" s="218" t="s">
        <v>567</v>
      </c>
      <c r="D74" s="13" t="s">
        <v>108</v>
      </c>
      <c r="E74" s="21" t="s">
        <v>34</v>
      </c>
      <c r="F74" s="179">
        <v>82.76</v>
      </c>
      <c r="G74" s="40">
        <v>48.51</v>
      </c>
      <c r="H74" s="40">
        <f t="shared" si="10"/>
        <v>62.61</v>
      </c>
      <c r="I74" s="20">
        <f>F74*H74</f>
        <v>5181.6000000000004</v>
      </c>
      <c r="J74" s="124">
        <f>I74/$I$838</f>
        <v>8.6599999999999993E-3</v>
      </c>
      <c r="K74" s="133"/>
      <c r="L74" s="92"/>
      <c r="M74" s="136"/>
      <c r="N74" s="136"/>
      <c r="O74" s="136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</row>
    <row r="75" spans="1:45" s="32" customFormat="1" x14ac:dyDescent="0.2">
      <c r="A75" s="34"/>
      <c r="B75" s="31"/>
      <c r="C75" s="321" t="s">
        <v>568</v>
      </c>
      <c r="D75" s="321"/>
      <c r="E75" s="321"/>
      <c r="F75" s="321"/>
      <c r="G75" s="321"/>
      <c r="H75" s="322"/>
      <c r="I75" s="60">
        <f>SUM(I72:I74)</f>
        <v>29975.24</v>
      </c>
      <c r="J75" s="123">
        <f>I75/$I$838</f>
        <v>5.0110000000000002E-2</v>
      </c>
      <c r="K75" s="133"/>
      <c r="L75" s="92"/>
      <c r="M75" s="136"/>
      <c r="N75" s="136"/>
      <c r="O75" s="136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</row>
    <row r="76" spans="1:45" s="32" customFormat="1" ht="13.5" thickBot="1" x14ac:dyDescent="0.25">
      <c r="A76" s="34"/>
      <c r="B76" s="62"/>
      <c r="C76" s="78"/>
      <c r="D76" s="78"/>
      <c r="E76" s="78"/>
      <c r="F76" s="78"/>
      <c r="G76" s="78"/>
      <c r="H76" s="78"/>
      <c r="I76" s="106"/>
      <c r="J76" s="79"/>
      <c r="K76" s="133"/>
      <c r="L76" s="92"/>
      <c r="M76" s="136"/>
      <c r="N76" s="136"/>
      <c r="O76" s="136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</row>
    <row r="77" spans="1:45" s="32" customFormat="1" ht="13.5" thickBot="1" x14ac:dyDescent="0.25">
      <c r="A77" s="30"/>
      <c r="B77" s="22"/>
      <c r="C77" s="221" t="s">
        <v>12</v>
      </c>
      <c r="D77" s="318" t="s">
        <v>70</v>
      </c>
      <c r="E77" s="319"/>
      <c r="F77" s="319"/>
      <c r="G77" s="319"/>
      <c r="H77" s="319"/>
      <c r="I77" s="320"/>
      <c r="J77" s="49"/>
      <c r="K77" s="133"/>
      <c r="L77" s="92"/>
      <c r="M77" s="136"/>
      <c r="N77" s="136"/>
      <c r="O77" s="136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</row>
    <row r="78" spans="1:45" s="32" customFormat="1" x14ac:dyDescent="0.2">
      <c r="A78" s="30"/>
      <c r="B78" s="22"/>
      <c r="C78" s="225" t="s">
        <v>64</v>
      </c>
      <c r="D78" s="55" t="s">
        <v>141</v>
      </c>
      <c r="E78" s="56"/>
      <c r="F78" s="180"/>
      <c r="G78" s="57"/>
      <c r="H78" s="57"/>
      <c r="I78" s="58"/>
      <c r="J78" s="47"/>
      <c r="K78" s="133"/>
      <c r="L78" s="92"/>
      <c r="M78" s="136"/>
      <c r="N78" s="136"/>
      <c r="O78" s="136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45" s="32" customFormat="1" x14ac:dyDescent="0.2">
      <c r="A79" s="30"/>
      <c r="B79" s="22"/>
      <c r="C79" s="226" t="s">
        <v>143</v>
      </c>
      <c r="D79" s="86" t="s">
        <v>144</v>
      </c>
      <c r="E79" s="21"/>
      <c r="F79" s="179"/>
      <c r="G79" s="40"/>
      <c r="H79" s="40"/>
      <c r="I79" s="20"/>
      <c r="J79" s="47"/>
      <c r="K79" s="133"/>
      <c r="L79" s="92"/>
      <c r="M79" s="136"/>
      <c r="N79" s="136"/>
      <c r="O79" s="136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45" s="32" customFormat="1" ht="25.5" x14ac:dyDescent="0.2">
      <c r="A80" s="30"/>
      <c r="B80" s="22">
        <v>97622</v>
      </c>
      <c r="C80" s="218" t="s">
        <v>570</v>
      </c>
      <c r="D80" s="13" t="s">
        <v>135</v>
      </c>
      <c r="E80" s="21" t="s">
        <v>36</v>
      </c>
      <c r="F80" s="179">
        <f>(0.38*0.12*2.9)*2</f>
        <v>0.26</v>
      </c>
      <c r="G80" s="40">
        <v>24.98</v>
      </c>
      <c r="H80" s="40">
        <f t="shared" ref="H80:H111" si="11">TRUNC((G80*(1+$I$6)),2)</f>
        <v>32.24</v>
      </c>
      <c r="I80" s="20">
        <f>F80*H80</f>
        <v>8.3800000000000008</v>
      </c>
      <c r="J80" s="124">
        <f>I80/$I$838</f>
        <v>1.0000000000000001E-5</v>
      </c>
      <c r="K80" s="133"/>
      <c r="L80" s="92"/>
      <c r="M80" s="136"/>
      <c r="N80" s="136"/>
      <c r="O80" s="136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</row>
    <row r="81" spans="1:45" s="32" customFormat="1" ht="25.5" x14ac:dyDescent="0.2">
      <c r="A81" s="30"/>
      <c r="B81" s="22">
        <v>97644</v>
      </c>
      <c r="C81" s="218" t="s">
        <v>572</v>
      </c>
      <c r="D81" s="13" t="s">
        <v>130</v>
      </c>
      <c r="E81" s="21" t="s">
        <v>34</v>
      </c>
      <c r="F81" s="179">
        <v>1.89</v>
      </c>
      <c r="G81" s="40">
        <v>4.1399999999999997</v>
      </c>
      <c r="H81" s="40">
        <f t="shared" si="11"/>
        <v>5.34</v>
      </c>
      <c r="I81" s="20">
        <f>F81*H81</f>
        <v>10.09</v>
      </c>
      <c r="J81" s="124">
        <f>I81/$I$838</f>
        <v>2.0000000000000002E-5</v>
      </c>
      <c r="K81" s="133"/>
      <c r="L81" s="92"/>
      <c r="M81" s="136"/>
      <c r="N81" s="136"/>
      <c r="O81" s="136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</row>
    <row r="82" spans="1:45" s="32" customFormat="1" ht="25.5" x14ac:dyDescent="0.2">
      <c r="A82" s="30"/>
      <c r="B82" s="22">
        <v>97645</v>
      </c>
      <c r="C82" s="218" t="s">
        <v>573</v>
      </c>
      <c r="D82" s="13" t="s">
        <v>131</v>
      </c>
      <c r="E82" s="21" t="s">
        <v>34</v>
      </c>
      <c r="F82" s="179">
        <v>8.92</v>
      </c>
      <c r="G82" s="40">
        <v>15.18</v>
      </c>
      <c r="H82" s="40">
        <f t="shared" si="11"/>
        <v>19.59</v>
      </c>
      <c r="I82" s="20">
        <f>F82*H82</f>
        <v>174.74</v>
      </c>
      <c r="J82" s="124">
        <f>I82/$I$838</f>
        <v>2.9E-4</v>
      </c>
      <c r="K82" s="133"/>
      <c r="L82" s="92"/>
      <c r="M82" s="136"/>
      <c r="N82" s="136"/>
      <c r="O82" s="136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</row>
    <row r="83" spans="1:45" s="32" customFormat="1" ht="25.5" x14ac:dyDescent="0.2">
      <c r="A83" s="30"/>
      <c r="B83" s="22">
        <v>97633</v>
      </c>
      <c r="C83" s="218" t="s">
        <v>574</v>
      </c>
      <c r="D83" s="13" t="s">
        <v>151</v>
      </c>
      <c r="E83" s="21" t="s">
        <v>34</v>
      </c>
      <c r="F83" s="179">
        <v>42.68</v>
      </c>
      <c r="G83" s="40">
        <v>10.1</v>
      </c>
      <c r="H83" s="40">
        <f t="shared" si="11"/>
        <v>13.03</v>
      </c>
      <c r="I83" s="20">
        <f>F83*H83</f>
        <v>556.12</v>
      </c>
      <c r="J83" s="124">
        <f>I83/$I$838</f>
        <v>9.3000000000000005E-4</v>
      </c>
      <c r="K83" s="133"/>
      <c r="L83" s="92"/>
      <c r="M83" s="136"/>
      <c r="N83" s="136"/>
      <c r="O83" s="136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</row>
    <row r="84" spans="1:45" s="32" customFormat="1" ht="25.5" x14ac:dyDescent="0.2">
      <c r="A84" s="30"/>
      <c r="B84" s="22" t="s">
        <v>1235</v>
      </c>
      <c r="C84" s="218" t="s">
        <v>575</v>
      </c>
      <c r="D84" s="12" t="s">
        <v>265</v>
      </c>
      <c r="E84" s="21" t="s">
        <v>34</v>
      </c>
      <c r="F84" s="21">
        <f>F95+F96</f>
        <v>25.24</v>
      </c>
      <c r="G84" s="40">
        <v>0.95</v>
      </c>
      <c r="H84" s="40">
        <f t="shared" si="11"/>
        <v>1.22</v>
      </c>
      <c r="I84" s="20">
        <f>F84*H84</f>
        <v>30.79</v>
      </c>
      <c r="J84" s="124">
        <f>I84/$I$838</f>
        <v>5.0000000000000002E-5</v>
      </c>
      <c r="K84" s="133"/>
      <c r="L84" s="92"/>
      <c r="M84" s="136"/>
      <c r="N84" s="136"/>
      <c r="O84" s="136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</row>
    <row r="85" spans="1:45" s="32" customFormat="1" x14ac:dyDescent="0.2">
      <c r="A85" s="30"/>
      <c r="B85" s="22"/>
      <c r="C85" s="226" t="s">
        <v>146</v>
      </c>
      <c r="D85" s="84" t="s">
        <v>147</v>
      </c>
      <c r="E85" s="21"/>
      <c r="F85" s="181"/>
      <c r="G85" s="40"/>
      <c r="H85" s="40"/>
      <c r="I85" s="20"/>
      <c r="J85" s="124"/>
      <c r="K85" s="133"/>
      <c r="L85" s="92"/>
      <c r="M85" s="136"/>
      <c r="N85" s="136"/>
      <c r="O85" s="136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</row>
    <row r="86" spans="1:45" s="32" customFormat="1" ht="51" x14ac:dyDescent="0.2">
      <c r="A86" s="30"/>
      <c r="B86" s="22">
        <v>87620</v>
      </c>
      <c r="C86" s="218" t="s">
        <v>576</v>
      </c>
      <c r="D86" s="12" t="s">
        <v>163</v>
      </c>
      <c r="E86" s="21" t="s">
        <v>34</v>
      </c>
      <c r="F86" s="179">
        <v>42.77</v>
      </c>
      <c r="G86" s="40">
        <v>16.73</v>
      </c>
      <c r="H86" s="40">
        <f t="shared" si="11"/>
        <v>21.59</v>
      </c>
      <c r="I86" s="20">
        <f>F86*H86</f>
        <v>923.4</v>
      </c>
      <c r="J86" s="124">
        <f>I86/$I$838</f>
        <v>1.5399999999999999E-3</v>
      </c>
      <c r="K86" s="133"/>
      <c r="L86" s="92"/>
      <c r="M86" s="136"/>
      <c r="N86" s="136"/>
      <c r="O86" s="136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</row>
    <row r="87" spans="1:45" s="32" customFormat="1" ht="51" x14ac:dyDescent="0.2">
      <c r="A87" s="30"/>
      <c r="B87" s="22">
        <v>87251</v>
      </c>
      <c r="C87" s="218" t="s">
        <v>577</v>
      </c>
      <c r="D87" s="11" t="s">
        <v>1209</v>
      </c>
      <c r="E87" s="21" t="s">
        <v>34</v>
      </c>
      <c r="F87" s="179">
        <v>42.77</v>
      </c>
      <c r="G87" s="40">
        <v>22.44</v>
      </c>
      <c r="H87" s="40">
        <f t="shared" si="11"/>
        <v>28.96</v>
      </c>
      <c r="I87" s="20">
        <f>F87*H87</f>
        <v>1238.6199999999999</v>
      </c>
      <c r="J87" s="124">
        <f>I87/$I$838</f>
        <v>2.0699999999999998E-3</v>
      </c>
      <c r="K87" s="133"/>
      <c r="L87" s="92"/>
      <c r="M87" s="136"/>
      <c r="N87" s="136"/>
      <c r="O87" s="136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</row>
    <row r="88" spans="1:45" s="32" customFormat="1" ht="25.5" x14ac:dyDescent="0.2">
      <c r="A88" s="30"/>
      <c r="B88" s="22">
        <v>98689</v>
      </c>
      <c r="C88" s="218" t="s">
        <v>578</v>
      </c>
      <c r="D88" s="76" t="s">
        <v>148</v>
      </c>
      <c r="E88" s="21" t="s">
        <v>37</v>
      </c>
      <c r="F88" s="179">
        <v>0.9</v>
      </c>
      <c r="G88" s="40">
        <v>52.28</v>
      </c>
      <c r="H88" s="40">
        <f t="shared" si="11"/>
        <v>67.47</v>
      </c>
      <c r="I88" s="20">
        <f>F88*H88</f>
        <v>60.72</v>
      </c>
      <c r="J88" s="124">
        <f>I88/$I$838</f>
        <v>1E-4</v>
      </c>
      <c r="K88" s="133"/>
      <c r="L88" s="92"/>
      <c r="M88" s="136"/>
      <c r="N88" s="136"/>
      <c r="O88" s="136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</row>
    <row r="89" spans="1:45" s="32" customFormat="1" x14ac:dyDescent="0.2">
      <c r="A89" s="30"/>
      <c r="B89" s="22"/>
      <c r="C89" s="226" t="s">
        <v>149</v>
      </c>
      <c r="D89" s="84" t="s">
        <v>150</v>
      </c>
      <c r="E89" s="85"/>
      <c r="F89" s="181"/>
      <c r="G89" s="40"/>
      <c r="H89" s="40"/>
      <c r="I89" s="20"/>
      <c r="J89" s="124"/>
      <c r="K89" s="133"/>
      <c r="L89" s="92"/>
      <c r="M89" s="136"/>
      <c r="N89" s="136"/>
      <c r="O89" s="136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</row>
    <row r="90" spans="1:45" s="32" customFormat="1" ht="51" x14ac:dyDescent="0.2">
      <c r="A90" s="30"/>
      <c r="B90" s="22">
        <v>87508</v>
      </c>
      <c r="C90" s="218" t="s">
        <v>579</v>
      </c>
      <c r="D90" s="13" t="s">
        <v>1050</v>
      </c>
      <c r="E90" s="21" t="s">
        <v>34</v>
      </c>
      <c r="F90" s="179">
        <v>2.36</v>
      </c>
      <c r="G90" s="40">
        <v>48.51</v>
      </c>
      <c r="H90" s="40">
        <f t="shared" si="11"/>
        <v>62.61</v>
      </c>
      <c r="I90" s="20">
        <f>F90*H90</f>
        <v>147.76</v>
      </c>
      <c r="J90" s="124">
        <f t="shared" ref="J90:J101" si="12">I90/$I$838</f>
        <v>2.5000000000000001E-4</v>
      </c>
      <c r="K90" s="133"/>
      <c r="L90" s="92"/>
      <c r="M90" s="136"/>
      <c r="N90" s="136"/>
      <c r="O90" s="136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</row>
    <row r="91" spans="1:45" s="32" customFormat="1" ht="25.5" x14ac:dyDescent="0.2">
      <c r="A91" s="30"/>
      <c r="B91" s="22">
        <v>87879</v>
      </c>
      <c r="C91" s="218" t="s">
        <v>580</v>
      </c>
      <c r="D91" s="12" t="s">
        <v>42</v>
      </c>
      <c r="E91" s="21" t="s">
        <v>34</v>
      </c>
      <c r="F91" s="179">
        <f>5.96+0.35+0.35</f>
        <v>6.66</v>
      </c>
      <c r="G91" s="40">
        <v>1.98</v>
      </c>
      <c r="H91" s="40">
        <f t="shared" si="11"/>
        <v>2.5499999999999998</v>
      </c>
      <c r="I91" s="20">
        <f>F91*H91</f>
        <v>16.98</v>
      </c>
      <c r="J91" s="124">
        <f t="shared" si="12"/>
        <v>3.0000000000000001E-5</v>
      </c>
      <c r="K91" s="133"/>
      <c r="L91" s="92"/>
      <c r="M91" s="136"/>
      <c r="N91" s="136"/>
      <c r="O91" s="136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</row>
    <row r="92" spans="1:45" s="32" customFormat="1" ht="51" x14ac:dyDescent="0.2">
      <c r="A92" s="30"/>
      <c r="B92" s="22">
        <v>87529</v>
      </c>
      <c r="C92" s="218" t="s">
        <v>581</v>
      </c>
      <c r="D92" s="12" t="s">
        <v>154</v>
      </c>
      <c r="E92" s="19" t="s">
        <v>34</v>
      </c>
      <c r="F92" s="179">
        <f>5.96+0.35+0.35</f>
        <v>6.66</v>
      </c>
      <c r="G92" s="40">
        <v>16.82</v>
      </c>
      <c r="H92" s="40">
        <f t="shared" si="11"/>
        <v>21.7</v>
      </c>
      <c r="I92" s="20">
        <f>F92*H92</f>
        <v>144.52000000000001</v>
      </c>
      <c r="J92" s="124">
        <f t="shared" si="12"/>
        <v>2.4000000000000001E-4</v>
      </c>
      <c r="K92" s="133"/>
      <c r="L92" s="92"/>
      <c r="M92" s="136"/>
      <c r="N92" s="136"/>
      <c r="O92" s="136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</row>
    <row r="93" spans="1:45" s="32" customFormat="1" ht="38.25" x14ac:dyDescent="0.2">
      <c r="A93" s="30"/>
      <c r="B93" s="22">
        <v>93196</v>
      </c>
      <c r="C93" s="218" t="s">
        <v>582</v>
      </c>
      <c r="D93" s="12" t="s">
        <v>454</v>
      </c>
      <c r="E93" s="19" t="s">
        <v>37</v>
      </c>
      <c r="F93" s="179">
        <v>1.95</v>
      </c>
      <c r="G93" s="40">
        <v>48.1</v>
      </c>
      <c r="H93" s="40">
        <f t="shared" si="11"/>
        <v>62.08</v>
      </c>
      <c r="I93" s="20">
        <f>F93*H93</f>
        <v>121.06</v>
      </c>
      <c r="J93" s="124">
        <f t="shared" si="12"/>
        <v>2.0000000000000001E-4</v>
      </c>
      <c r="K93" s="133"/>
      <c r="L93" s="92"/>
      <c r="M93" s="136"/>
      <c r="N93" s="136"/>
      <c r="O93" s="136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</row>
    <row r="94" spans="1:45" s="32" customFormat="1" ht="38.25" x14ac:dyDescent="0.2">
      <c r="A94" s="30"/>
      <c r="B94" s="22">
        <v>93197</v>
      </c>
      <c r="C94" s="218" t="s">
        <v>583</v>
      </c>
      <c r="D94" s="12" t="s">
        <v>455</v>
      </c>
      <c r="E94" s="19" t="s">
        <v>37</v>
      </c>
      <c r="F94" s="179">
        <v>5.4</v>
      </c>
      <c r="G94" s="40">
        <v>53.86</v>
      </c>
      <c r="H94" s="40">
        <f t="shared" si="11"/>
        <v>69.510000000000005</v>
      </c>
      <c r="I94" s="20">
        <f>F94*H94</f>
        <v>375.35</v>
      </c>
      <c r="J94" s="124">
        <f t="shared" si="12"/>
        <v>6.3000000000000003E-4</v>
      </c>
      <c r="K94" s="133"/>
      <c r="L94" s="92"/>
      <c r="M94" s="136"/>
      <c r="N94" s="136"/>
      <c r="O94" s="136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</row>
    <row r="95" spans="1:45" s="32" customFormat="1" ht="63.75" x14ac:dyDescent="0.2">
      <c r="A95" s="30"/>
      <c r="B95" s="22" t="s">
        <v>1224</v>
      </c>
      <c r="C95" s="218" t="s">
        <v>584</v>
      </c>
      <c r="D95" s="12" t="s">
        <v>1210</v>
      </c>
      <c r="E95" s="19" t="s">
        <v>34</v>
      </c>
      <c r="F95" s="21">
        <v>2.52</v>
      </c>
      <c r="G95" s="40">
        <v>88.58</v>
      </c>
      <c r="H95" s="40">
        <f t="shared" si="11"/>
        <v>114.33</v>
      </c>
      <c r="I95" s="20">
        <f>F95*H95</f>
        <v>288.11</v>
      </c>
      <c r="J95" s="124">
        <f t="shared" si="12"/>
        <v>4.8000000000000001E-4</v>
      </c>
      <c r="K95" s="133"/>
      <c r="L95" s="92"/>
      <c r="M95" s="136"/>
      <c r="N95" s="136"/>
      <c r="O95" s="136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</row>
    <row r="96" spans="1:45" s="32" customFormat="1" ht="63.75" x14ac:dyDescent="0.2">
      <c r="A96" s="30"/>
      <c r="B96" s="22" t="s">
        <v>1225</v>
      </c>
      <c r="C96" s="218" t="s">
        <v>585</v>
      </c>
      <c r="D96" s="12" t="s">
        <v>1211</v>
      </c>
      <c r="E96" s="19" t="s">
        <v>34</v>
      </c>
      <c r="F96" s="21">
        <v>22.72</v>
      </c>
      <c r="G96" s="40">
        <v>84.55</v>
      </c>
      <c r="H96" s="40">
        <f t="shared" si="11"/>
        <v>109.12</v>
      </c>
      <c r="I96" s="20">
        <f>F96*H96</f>
        <v>2479.21</v>
      </c>
      <c r="J96" s="124">
        <f t="shared" ref="J96" si="13">I96/$I$838</f>
        <v>4.1399999999999996E-3</v>
      </c>
      <c r="K96" s="133"/>
      <c r="L96" s="92"/>
      <c r="M96" s="136"/>
      <c r="N96" s="136"/>
      <c r="O96" s="136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</row>
    <row r="97" spans="1:45" s="32" customFormat="1" ht="25.5" x14ac:dyDescent="0.2">
      <c r="A97" s="30"/>
      <c r="B97" s="22">
        <v>88485</v>
      </c>
      <c r="C97" s="218" t="s">
        <v>586</v>
      </c>
      <c r="D97" s="76" t="s">
        <v>155</v>
      </c>
      <c r="E97" s="21" t="s">
        <v>34</v>
      </c>
      <c r="F97" s="179">
        <v>40.65</v>
      </c>
      <c r="G97" s="40">
        <v>1.18</v>
      </c>
      <c r="H97" s="40">
        <f t="shared" si="11"/>
        <v>1.52</v>
      </c>
      <c r="I97" s="20">
        <f>F97*H97</f>
        <v>61.79</v>
      </c>
      <c r="J97" s="124">
        <f t="shared" si="12"/>
        <v>1E-4</v>
      </c>
      <c r="K97" s="133"/>
      <c r="L97" s="92"/>
      <c r="M97" s="136"/>
      <c r="N97" s="136"/>
      <c r="O97" s="136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</row>
    <row r="98" spans="1:45" s="32" customFormat="1" ht="25.5" x14ac:dyDescent="0.2">
      <c r="A98" s="30"/>
      <c r="B98" s="22">
        <v>88497</v>
      </c>
      <c r="C98" s="218" t="s">
        <v>587</v>
      </c>
      <c r="D98" s="76" t="s">
        <v>102</v>
      </c>
      <c r="E98" s="21" t="s">
        <v>34</v>
      </c>
      <c r="F98" s="179">
        <v>40.65</v>
      </c>
      <c r="G98" s="40">
        <v>7.81</v>
      </c>
      <c r="H98" s="40">
        <f t="shared" si="11"/>
        <v>10.08</v>
      </c>
      <c r="I98" s="20">
        <f>F98*H98</f>
        <v>409.75</v>
      </c>
      <c r="J98" s="124">
        <f t="shared" si="12"/>
        <v>6.8999999999999997E-4</v>
      </c>
      <c r="K98" s="133"/>
      <c r="L98" s="92"/>
      <c r="M98" s="136"/>
      <c r="N98" s="136"/>
      <c r="O98" s="136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</row>
    <row r="99" spans="1:45" s="32" customFormat="1" ht="25.5" x14ac:dyDescent="0.2">
      <c r="A99" s="30"/>
      <c r="B99" s="22">
        <v>88489</v>
      </c>
      <c r="C99" s="218" t="s">
        <v>588</v>
      </c>
      <c r="D99" s="13" t="s">
        <v>43</v>
      </c>
      <c r="E99" s="21" t="s">
        <v>34</v>
      </c>
      <c r="F99" s="179">
        <v>40.65</v>
      </c>
      <c r="G99" s="40">
        <v>7.37</v>
      </c>
      <c r="H99" s="40">
        <f t="shared" si="11"/>
        <v>9.51</v>
      </c>
      <c r="I99" s="20">
        <f>F99*H99</f>
        <v>386.58</v>
      </c>
      <c r="J99" s="124">
        <f t="shared" si="12"/>
        <v>6.4999999999999997E-4</v>
      </c>
      <c r="K99" s="133"/>
      <c r="L99" s="92"/>
      <c r="M99" s="136"/>
      <c r="N99" s="136"/>
      <c r="O99" s="136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</row>
    <row r="100" spans="1:45" s="32" customFormat="1" ht="38.25" x14ac:dyDescent="0.2">
      <c r="A100" s="30"/>
      <c r="B100" s="22" t="s">
        <v>1231</v>
      </c>
      <c r="C100" s="218" t="s">
        <v>589</v>
      </c>
      <c r="D100" s="12" t="s">
        <v>569</v>
      </c>
      <c r="E100" s="21" t="s">
        <v>37</v>
      </c>
      <c r="F100" s="179">
        <v>16.88</v>
      </c>
      <c r="G100" s="40">
        <v>3.29</v>
      </c>
      <c r="H100" s="40">
        <f t="shared" si="11"/>
        <v>4.24</v>
      </c>
      <c r="I100" s="20">
        <f>F100*H100</f>
        <v>71.569999999999993</v>
      </c>
      <c r="J100" s="124">
        <f t="shared" si="12"/>
        <v>1.2E-4</v>
      </c>
      <c r="K100" s="133"/>
      <c r="L100" s="92"/>
      <c r="M100" s="136"/>
      <c r="N100" s="136"/>
      <c r="O100" s="136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</row>
    <row r="101" spans="1:45" s="32" customFormat="1" ht="38.25" x14ac:dyDescent="0.2">
      <c r="A101" s="30"/>
      <c r="B101" s="22">
        <v>102219</v>
      </c>
      <c r="C101" s="218" t="s">
        <v>1212</v>
      </c>
      <c r="D101" s="12" t="s">
        <v>1167</v>
      </c>
      <c r="E101" s="21" t="s">
        <v>34</v>
      </c>
      <c r="F101" s="179">
        <f>F100*0.1</f>
        <v>1.69</v>
      </c>
      <c r="G101" s="40">
        <v>7.68</v>
      </c>
      <c r="H101" s="40">
        <f t="shared" si="11"/>
        <v>9.91</v>
      </c>
      <c r="I101" s="20">
        <f>F101*H101</f>
        <v>16.75</v>
      </c>
      <c r="J101" s="124">
        <f t="shared" si="12"/>
        <v>3.0000000000000001E-5</v>
      </c>
      <c r="K101" s="133"/>
      <c r="L101" s="92"/>
      <c r="M101" s="136"/>
      <c r="N101" s="136"/>
      <c r="O101" s="136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</row>
    <row r="102" spans="1:45" s="32" customFormat="1" x14ac:dyDescent="0.2">
      <c r="A102" s="30"/>
      <c r="B102" s="22"/>
      <c r="C102" s="226" t="s">
        <v>152</v>
      </c>
      <c r="D102" s="84" t="s">
        <v>165</v>
      </c>
      <c r="E102" s="21"/>
      <c r="F102" s="179"/>
      <c r="G102" s="40"/>
      <c r="H102" s="40"/>
      <c r="I102" s="20"/>
      <c r="J102" s="124"/>
      <c r="K102" s="133"/>
      <c r="L102" s="92"/>
      <c r="M102" s="136"/>
      <c r="N102" s="136"/>
      <c r="O102" s="136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</row>
    <row r="103" spans="1:45" s="32" customFormat="1" ht="25.5" x14ac:dyDescent="0.2">
      <c r="A103" s="30"/>
      <c r="B103" s="22">
        <v>88484</v>
      </c>
      <c r="C103" s="218" t="s">
        <v>590</v>
      </c>
      <c r="D103" s="76" t="s">
        <v>156</v>
      </c>
      <c r="E103" s="21" t="s">
        <v>34</v>
      </c>
      <c r="F103" s="179">
        <v>42.77</v>
      </c>
      <c r="G103" s="40">
        <v>1.39</v>
      </c>
      <c r="H103" s="40">
        <f t="shared" si="11"/>
        <v>1.79</v>
      </c>
      <c r="I103" s="20">
        <f>F103*H103</f>
        <v>76.56</v>
      </c>
      <c r="J103" s="124">
        <f>I103/$I$838</f>
        <v>1.2999999999999999E-4</v>
      </c>
      <c r="K103" s="133"/>
      <c r="L103" s="92"/>
      <c r="M103" s="136"/>
      <c r="N103" s="136"/>
      <c r="O103" s="136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</row>
    <row r="104" spans="1:45" s="32" customFormat="1" ht="25.5" x14ac:dyDescent="0.2">
      <c r="A104" s="30"/>
      <c r="B104" s="22">
        <v>88494</v>
      </c>
      <c r="C104" s="218" t="s">
        <v>591</v>
      </c>
      <c r="D104" s="76" t="s">
        <v>158</v>
      </c>
      <c r="E104" s="21" t="s">
        <v>34</v>
      </c>
      <c r="F104" s="179">
        <v>42.77</v>
      </c>
      <c r="G104" s="40">
        <v>10.24</v>
      </c>
      <c r="H104" s="40">
        <f t="shared" si="11"/>
        <v>13.21</v>
      </c>
      <c r="I104" s="20">
        <f>F104*H104</f>
        <v>564.99</v>
      </c>
      <c r="J104" s="124">
        <f>I104/$I$838</f>
        <v>9.3999999999999997E-4</v>
      </c>
      <c r="K104" s="133"/>
      <c r="L104" s="92"/>
      <c r="M104" s="136"/>
      <c r="N104" s="136"/>
      <c r="O104" s="136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</row>
    <row r="105" spans="1:45" s="32" customFormat="1" ht="25.5" x14ac:dyDescent="0.2">
      <c r="A105" s="30"/>
      <c r="B105" s="22">
        <v>88488</v>
      </c>
      <c r="C105" s="218" t="s">
        <v>592</v>
      </c>
      <c r="D105" s="13" t="s">
        <v>157</v>
      </c>
      <c r="E105" s="21" t="s">
        <v>34</v>
      </c>
      <c r="F105" s="179">
        <v>42.77</v>
      </c>
      <c r="G105" s="40">
        <v>8.32</v>
      </c>
      <c r="H105" s="40">
        <f t="shared" si="11"/>
        <v>10.73</v>
      </c>
      <c r="I105" s="20">
        <f>F105*H105</f>
        <v>458.92</v>
      </c>
      <c r="J105" s="124">
        <f>I105/$I$838</f>
        <v>7.6999999999999996E-4</v>
      </c>
      <c r="K105" s="133"/>
      <c r="L105" s="92"/>
      <c r="M105" s="136"/>
      <c r="N105" s="136"/>
      <c r="O105" s="136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</row>
    <row r="106" spans="1:45" s="32" customFormat="1" x14ac:dyDescent="0.2">
      <c r="A106" s="30"/>
      <c r="B106" s="22"/>
      <c r="C106" s="226" t="s">
        <v>166</v>
      </c>
      <c r="D106" s="86" t="s">
        <v>153</v>
      </c>
      <c r="E106" s="21"/>
      <c r="F106" s="179"/>
      <c r="G106" s="40"/>
      <c r="H106" s="40"/>
      <c r="I106" s="20"/>
      <c r="J106" s="124"/>
      <c r="K106" s="133"/>
      <c r="L106" s="92"/>
      <c r="M106" s="136"/>
      <c r="N106" s="136"/>
      <c r="O106" s="136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</row>
    <row r="107" spans="1:45" s="32" customFormat="1" ht="25.5" x14ac:dyDescent="0.2">
      <c r="A107" s="30"/>
      <c r="B107" s="22">
        <v>98689</v>
      </c>
      <c r="C107" s="218" t="s">
        <v>593</v>
      </c>
      <c r="D107" s="76" t="s">
        <v>159</v>
      </c>
      <c r="E107" s="21" t="s">
        <v>37</v>
      </c>
      <c r="F107" s="179">
        <v>6.04</v>
      </c>
      <c r="G107" s="40">
        <v>52.28</v>
      </c>
      <c r="H107" s="40">
        <f t="shared" si="11"/>
        <v>67.47</v>
      </c>
      <c r="I107" s="20">
        <f>F107*H107</f>
        <v>407.52</v>
      </c>
      <c r="J107" s="124">
        <f>I107/$I$838</f>
        <v>6.8000000000000005E-4</v>
      </c>
      <c r="K107" s="133"/>
      <c r="L107" s="92"/>
      <c r="M107" s="136"/>
      <c r="N107" s="136"/>
      <c r="O107" s="136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</row>
    <row r="108" spans="1:45" s="32" customFormat="1" ht="89.25" x14ac:dyDescent="0.2">
      <c r="A108" s="30"/>
      <c r="B108" s="22" t="s">
        <v>1252</v>
      </c>
      <c r="C108" s="218" t="s">
        <v>594</v>
      </c>
      <c r="D108" s="13" t="s">
        <v>1255</v>
      </c>
      <c r="E108" s="21" t="s">
        <v>35</v>
      </c>
      <c r="F108" s="179">
        <v>1</v>
      </c>
      <c r="G108" s="40">
        <v>567.20000000000005</v>
      </c>
      <c r="H108" s="40">
        <f t="shared" si="11"/>
        <v>732.08</v>
      </c>
      <c r="I108" s="20">
        <f>F108*H108</f>
        <v>732.08</v>
      </c>
      <c r="J108" s="124">
        <f>I108/$I$838</f>
        <v>1.2199999999999999E-3</v>
      </c>
      <c r="K108" s="133"/>
      <c r="L108" s="92"/>
      <c r="M108" s="136"/>
      <c r="N108" s="136"/>
      <c r="O108" s="136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</row>
    <row r="109" spans="1:45" s="32" customFormat="1" ht="38.25" x14ac:dyDescent="0.2">
      <c r="A109" s="30"/>
      <c r="B109" s="22">
        <v>91306</v>
      </c>
      <c r="C109" s="218" t="s">
        <v>595</v>
      </c>
      <c r="D109" s="13" t="s">
        <v>1260</v>
      </c>
      <c r="E109" s="21" t="s">
        <v>35</v>
      </c>
      <c r="F109" s="179">
        <f>F108</f>
        <v>1</v>
      </c>
      <c r="G109" s="40">
        <v>79.69</v>
      </c>
      <c r="H109" s="40">
        <f t="shared" ref="H109" si="14">TRUNC((G109*(1+$I$6)),2)</f>
        <v>102.85</v>
      </c>
      <c r="I109" s="20">
        <f>F109*H109</f>
        <v>102.85</v>
      </c>
      <c r="J109" s="124">
        <f>I109/$I$838</f>
        <v>1.7000000000000001E-4</v>
      </c>
      <c r="K109" s="133"/>
      <c r="L109" s="92"/>
      <c r="M109" s="136"/>
      <c r="N109" s="136"/>
      <c r="O109" s="136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</row>
    <row r="110" spans="1:45" s="32" customFormat="1" ht="38.25" x14ac:dyDescent="0.2">
      <c r="A110" s="30"/>
      <c r="B110" s="22" t="s">
        <v>121</v>
      </c>
      <c r="C110" s="218" t="s">
        <v>596</v>
      </c>
      <c r="D110" s="13" t="s">
        <v>161</v>
      </c>
      <c r="E110" s="21" t="s">
        <v>35</v>
      </c>
      <c r="F110" s="179">
        <v>2</v>
      </c>
      <c r="G110" s="40">
        <v>1138.92</v>
      </c>
      <c r="H110" s="40">
        <f t="shared" si="11"/>
        <v>1470</v>
      </c>
      <c r="I110" s="20">
        <f>F110*H110</f>
        <v>2940</v>
      </c>
      <c r="J110" s="124">
        <f>I110/$I$838</f>
        <v>4.9199999999999999E-3</v>
      </c>
      <c r="K110" s="133"/>
      <c r="L110" s="92"/>
      <c r="M110" s="136"/>
      <c r="N110" s="136"/>
      <c r="O110" s="136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</row>
    <row r="111" spans="1:45" s="32" customFormat="1" ht="51" x14ac:dyDescent="0.2">
      <c r="A111" s="30"/>
      <c r="B111" s="22" t="s">
        <v>121</v>
      </c>
      <c r="C111" s="218" t="s">
        <v>1258</v>
      </c>
      <c r="D111" s="13" t="s">
        <v>160</v>
      </c>
      <c r="E111" s="21" t="s">
        <v>35</v>
      </c>
      <c r="F111" s="179">
        <v>2</v>
      </c>
      <c r="G111" s="40">
        <v>381.4</v>
      </c>
      <c r="H111" s="40">
        <f t="shared" si="11"/>
        <v>492.27</v>
      </c>
      <c r="I111" s="20">
        <f>F111*H111</f>
        <v>984.54</v>
      </c>
      <c r="J111" s="124">
        <f>I111/$I$838</f>
        <v>1.65E-3</v>
      </c>
      <c r="K111" s="133"/>
      <c r="L111" s="92"/>
      <c r="M111" s="136"/>
      <c r="N111" s="136"/>
      <c r="O111" s="136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</row>
    <row r="112" spans="1:45" s="32" customFormat="1" x14ac:dyDescent="0.2">
      <c r="A112" s="30"/>
      <c r="B112" s="22"/>
      <c r="C112" s="247"/>
      <c r="D112" s="316" t="s">
        <v>142</v>
      </c>
      <c r="E112" s="316"/>
      <c r="F112" s="316"/>
      <c r="G112" s="316"/>
      <c r="H112" s="317"/>
      <c r="I112" s="109">
        <f>SUM(I79:I111)</f>
        <v>13789.75</v>
      </c>
      <c r="J112" s="124"/>
      <c r="K112" s="133"/>
      <c r="L112" s="92"/>
      <c r="M112" s="136"/>
      <c r="N112" s="136"/>
      <c r="O112" s="136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</row>
    <row r="113" spans="1:45" s="32" customFormat="1" x14ac:dyDescent="0.2">
      <c r="A113" s="30"/>
      <c r="B113" s="22"/>
      <c r="C113" s="225" t="s">
        <v>59</v>
      </c>
      <c r="D113" s="75" t="s">
        <v>103</v>
      </c>
      <c r="E113" s="175"/>
      <c r="F113" s="180"/>
      <c r="G113" s="57"/>
      <c r="H113" s="57"/>
      <c r="I113" s="58"/>
      <c r="J113" s="124"/>
      <c r="K113" s="133"/>
      <c r="L113" s="92"/>
      <c r="M113" s="136"/>
      <c r="N113" s="136"/>
      <c r="O113" s="136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</row>
    <row r="114" spans="1:45" s="32" customFormat="1" x14ac:dyDescent="0.2">
      <c r="A114" s="30"/>
      <c r="B114" s="22"/>
      <c r="C114" s="226" t="s">
        <v>164</v>
      </c>
      <c r="D114" s="86" t="s">
        <v>144</v>
      </c>
      <c r="E114" s="21"/>
      <c r="F114" s="179"/>
      <c r="G114" s="40"/>
      <c r="H114" s="40"/>
      <c r="I114" s="20"/>
      <c r="J114" s="124"/>
      <c r="K114" s="133"/>
      <c r="L114" s="92"/>
      <c r="M114" s="136"/>
      <c r="N114" s="136"/>
      <c r="O114" s="136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</row>
    <row r="115" spans="1:45" s="32" customFormat="1" ht="25.5" x14ac:dyDescent="0.2">
      <c r="A115" s="30"/>
      <c r="B115" s="22">
        <v>97644</v>
      </c>
      <c r="C115" s="218" t="s">
        <v>597</v>
      </c>
      <c r="D115" s="13" t="s">
        <v>130</v>
      </c>
      <c r="E115" s="21" t="s">
        <v>34</v>
      </c>
      <c r="F115" s="179">
        <v>1.47</v>
      </c>
      <c r="G115" s="40">
        <v>4.1399999999999997</v>
      </c>
      <c r="H115" s="40">
        <f t="shared" ref="H115:H156" si="15">TRUNC((G115*(1+$I$6)),2)</f>
        <v>5.34</v>
      </c>
      <c r="I115" s="20">
        <f>F115*H115</f>
        <v>7.85</v>
      </c>
      <c r="J115" s="124">
        <f t="shared" ref="J115:J121" si="16">I115/$I$838</f>
        <v>1.0000000000000001E-5</v>
      </c>
      <c r="K115" s="133"/>
      <c r="L115" s="92"/>
      <c r="M115" s="136"/>
      <c r="N115" s="136"/>
      <c r="O115" s="136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</row>
    <row r="116" spans="1:45" s="32" customFormat="1" ht="25.5" x14ac:dyDescent="0.2">
      <c r="A116" s="30"/>
      <c r="B116" s="22">
        <v>97645</v>
      </c>
      <c r="C116" s="218" t="s">
        <v>605</v>
      </c>
      <c r="D116" s="13" t="s">
        <v>131</v>
      </c>
      <c r="E116" s="21" t="s">
        <v>34</v>
      </c>
      <c r="F116" s="179">
        <v>0.95</v>
      </c>
      <c r="G116" s="40">
        <v>15.18</v>
      </c>
      <c r="H116" s="40">
        <f t="shared" si="15"/>
        <v>19.59</v>
      </c>
      <c r="I116" s="20">
        <f>F116*H116</f>
        <v>18.61</v>
      </c>
      <c r="J116" s="124">
        <f t="shared" si="16"/>
        <v>3.0000000000000001E-5</v>
      </c>
      <c r="K116" s="133"/>
      <c r="L116" s="92"/>
      <c r="M116" s="136"/>
      <c r="N116" s="136"/>
      <c r="O116" s="136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</row>
    <row r="117" spans="1:45" s="32" customFormat="1" ht="25.5" x14ac:dyDescent="0.2">
      <c r="A117" s="30"/>
      <c r="B117" s="22">
        <v>97633</v>
      </c>
      <c r="C117" s="218" t="s">
        <v>606</v>
      </c>
      <c r="D117" s="13" t="s">
        <v>137</v>
      </c>
      <c r="E117" s="21" t="s">
        <v>34</v>
      </c>
      <c r="F117" s="179">
        <v>18.21</v>
      </c>
      <c r="G117" s="40">
        <v>10.1</v>
      </c>
      <c r="H117" s="40">
        <f t="shared" si="15"/>
        <v>13.03</v>
      </c>
      <c r="I117" s="20">
        <f>F117*H117</f>
        <v>237.28</v>
      </c>
      <c r="J117" s="124">
        <f t="shared" si="16"/>
        <v>4.0000000000000002E-4</v>
      </c>
      <c r="K117" s="133"/>
      <c r="L117" s="92"/>
      <c r="M117" s="136"/>
      <c r="N117" s="136"/>
      <c r="O117" s="136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</row>
    <row r="118" spans="1:45" s="32" customFormat="1" ht="25.5" x14ac:dyDescent="0.2">
      <c r="A118" s="30"/>
      <c r="B118" s="22">
        <v>97633</v>
      </c>
      <c r="C118" s="218" t="s">
        <v>607</v>
      </c>
      <c r="D118" s="13" t="s">
        <v>138</v>
      </c>
      <c r="E118" s="21" t="s">
        <v>34</v>
      </c>
      <c r="F118" s="179">
        <v>6.69</v>
      </c>
      <c r="G118" s="40">
        <v>10.1</v>
      </c>
      <c r="H118" s="40">
        <f t="shared" si="15"/>
        <v>13.03</v>
      </c>
      <c r="I118" s="20">
        <f>F118*H118</f>
        <v>87.17</v>
      </c>
      <c r="J118" s="124">
        <f t="shared" si="16"/>
        <v>1.4999999999999999E-4</v>
      </c>
      <c r="K118" s="133"/>
      <c r="L118" s="92"/>
      <c r="M118" s="136"/>
      <c r="N118" s="136"/>
      <c r="O118" s="136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</row>
    <row r="119" spans="1:45" s="32" customFormat="1" ht="25.5" x14ac:dyDescent="0.2">
      <c r="A119" s="30"/>
      <c r="B119" s="22">
        <v>97622</v>
      </c>
      <c r="C119" s="218" t="s">
        <v>608</v>
      </c>
      <c r="D119" s="13" t="s">
        <v>135</v>
      </c>
      <c r="E119" s="21" t="s">
        <v>36</v>
      </c>
      <c r="F119" s="179">
        <f>0.48+0.06+0.37</f>
        <v>0.91</v>
      </c>
      <c r="G119" s="40">
        <v>24.98</v>
      </c>
      <c r="H119" s="40">
        <f t="shared" si="15"/>
        <v>32.24</v>
      </c>
      <c r="I119" s="20">
        <f>F119*H119</f>
        <v>29.34</v>
      </c>
      <c r="J119" s="124">
        <f t="shared" si="16"/>
        <v>5.0000000000000002E-5</v>
      </c>
      <c r="K119" s="133"/>
      <c r="L119" s="92"/>
      <c r="M119" s="136"/>
      <c r="N119" s="136"/>
      <c r="O119" s="136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</row>
    <row r="120" spans="1:45" s="32" customFormat="1" x14ac:dyDescent="0.2">
      <c r="A120" s="30"/>
      <c r="B120" s="22">
        <v>97663</v>
      </c>
      <c r="C120" s="218" t="s">
        <v>609</v>
      </c>
      <c r="D120" s="13" t="s">
        <v>370</v>
      </c>
      <c r="E120" s="21" t="s">
        <v>35</v>
      </c>
      <c r="F120" s="179">
        <v>2</v>
      </c>
      <c r="G120" s="40">
        <v>5.53</v>
      </c>
      <c r="H120" s="40">
        <f t="shared" si="15"/>
        <v>7.13</v>
      </c>
      <c r="I120" s="20">
        <f>F120*H120</f>
        <v>14.26</v>
      </c>
      <c r="J120" s="124">
        <f t="shared" si="16"/>
        <v>2.0000000000000002E-5</v>
      </c>
      <c r="K120" s="133"/>
      <c r="L120" s="92"/>
      <c r="M120" s="136"/>
      <c r="N120" s="136"/>
      <c r="O120" s="136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</row>
    <row r="121" spans="1:45" s="32" customFormat="1" ht="25.5" x14ac:dyDescent="0.2">
      <c r="A121" s="30"/>
      <c r="B121" s="22" t="s">
        <v>1235</v>
      </c>
      <c r="C121" s="218" t="s">
        <v>610</v>
      </c>
      <c r="D121" s="12" t="s">
        <v>265</v>
      </c>
      <c r="E121" s="21" t="s">
        <v>34</v>
      </c>
      <c r="F121" s="21">
        <v>24.17</v>
      </c>
      <c r="G121" s="40">
        <v>0.95</v>
      </c>
      <c r="H121" s="40">
        <f t="shared" si="15"/>
        <v>1.22</v>
      </c>
      <c r="I121" s="20">
        <f>F121*H121</f>
        <v>29.49</v>
      </c>
      <c r="J121" s="124">
        <f t="shared" si="16"/>
        <v>5.0000000000000002E-5</v>
      </c>
      <c r="K121" s="133"/>
      <c r="L121" s="92"/>
      <c r="M121" s="136"/>
      <c r="N121" s="136"/>
      <c r="O121" s="136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</row>
    <row r="122" spans="1:45" s="32" customFormat="1" x14ac:dyDescent="0.2">
      <c r="A122" s="30"/>
      <c r="B122" s="22"/>
      <c r="C122" s="226" t="s">
        <v>169</v>
      </c>
      <c r="D122" s="84" t="s">
        <v>147</v>
      </c>
      <c r="E122" s="21"/>
      <c r="F122" s="181"/>
      <c r="G122" s="40"/>
      <c r="H122" s="40"/>
      <c r="I122" s="20"/>
      <c r="J122" s="124"/>
      <c r="K122" s="133"/>
      <c r="L122" s="92"/>
      <c r="M122" s="136"/>
      <c r="N122" s="136"/>
      <c r="O122" s="136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</row>
    <row r="123" spans="1:45" s="32" customFormat="1" ht="51" x14ac:dyDescent="0.2">
      <c r="A123" s="30"/>
      <c r="B123" s="22">
        <v>87620</v>
      </c>
      <c r="C123" s="218" t="s">
        <v>599</v>
      </c>
      <c r="D123" s="12" t="s">
        <v>163</v>
      </c>
      <c r="E123" s="21" t="s">
        <v>34</v>
      </c>
      <c r="F123" s="179">
        <v>6.45</v>
      </c>
      <c r="G123" s="40">
        <v>16.73</v>
      </c>
      <c r="H123" s="40">
        <f t="shared" si="15"/>
        <v>21.59</v>
      </c>
      <c r="I123" s="20">
        <f>F123*H123</f>
        <v>139.26</v>
      </c>
      <c r="J123" s="124">
        <f>I123/$I$838</f>
        <v>2.3000000000000001E-4</v>
      </c>
      <c r="K123" s="133"/>
      <c r="L123" s="92"/>
      <c r="M123" s="136"/>
      <c r="N123" s="136"/>
      <c r="O123" s="136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</row>
    <row r="124" spans="1:45" s="32" customFormat="1" ht="51" x14ac:dyDescent="0.2">
      <c r="A124" s="30"/>
      <c r="B124" s="22">
        <v>87251</v>
      </c>
      <c r="C124" s="218" t="s">
        <v>603</v>
      </c>
      <c r="D124" s="11" t="s">
        <v>1209</v>
      </c>
      <c r="E124" s="21" t="s">
        <v>34</v>
      </c>
      <c r="F124" s="179">
        <v>6.45</v>
      </c>
      <c r="G124" s="40">
        <v>22.44</v>
      </c>
      <c r="H124" s="40">
        <f t="shared" si="15"/>
        <v>28.96</v>
      </c>
      <c r="I124" s="20">
        <f>F124*H124</f>
        <v>186.79</v>
      </c>
      <c r="J124" s="124">
        <f>I124/$I$838</f>
        <v>3.1E-4</v>
      </c>
      <c r="K124" s="133"/>
      <c r="L124" s="92"/>
      <c r="M124" s="136"/>
      <c r="N124" s="136"/>
      <c r="O124" s="136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</row>
    <row r="125" spans="1:45" s="32" customFormat="1" ht="25.5" x14ac:dyDescent="0.2">
      <c r="A125" s="30"/>
      <c r="B125" s="22">
        <v>98689</v>
      </c>
      <c r="C125" s="218" t="s">
        <v>604</v>
      </c>
      <c r="D125" s="76" t="s">
        <v>148</v>
      </c>
      <c r="E125" s="21" t="s">
        <v>37</v>
      </c>
      <c r="F125" s="179">
        <v>0.8</v>
      </c>
      <c r="G125" s="40">
        <v>52.28</v>
      </c>
      <c r="H125" s="40">
        <f t="shared" si="15"/>
        <v>67.47</v>
      </c>
      <c r="I125" s="20">
        <f>F125*H125</f>
        <v>53.98</v>
      </c>
      <c r="J125" s="124">
        <f>I125/$I$838</f>
        <v>9.0000000000000006E-5</v>
      </c>
      <c r="K125" s="133"/>
      <c r="L125" s="92"/>
      <c r="M125" s="136"/>
      <c r="N125" s="136"/>
      <c r="O125" s="136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</row>
    <row r="126" spans="1:45" s="32" customFormat="1" x14ac:dyDescent="0.2">
      <c r="A126" s="30"/>
      <c r="B126" s="22"/>
      <c r="C126" s="226" t="s">
        <v>170</v>
      </c>
      <c r="D126" s="84" t="s">
        <v>150</v>
      </c>
      <c r="E126" s="85"/>
      <c r="F126" s="181"/>
      <c r="G126" s="40"/>
      <c r="H126" s="40"/>
      <c r="I126" s="20"/>
      <c r="J126" s="124"/>
      <c r="K126" s="133"/>
      <c r="L126" s="92"/>
      <c r="M126" s="136"/>
      <c r="N126" s="136"/>
      <c r="O126" s="136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</row>
    <row r="127" spans="1:45" s="32" customFormat="1" ht="63.75" x14ac:dyDescent="0.2">
      <c r="A127" s="30"/>
      <c r="B127" s="22">
        <v>87509</v>
      </c>
      <c r="C127" s="218" t="s">
        <v>611</v>
      </c>
      <c r="D127" s="12" t="s">
        <v>167</v>
      </c>
      <c r="E127" s="19" t="s">
        <v>34</v>
      </c>
      <c r="F127" s="179">
        <v>4.07</v>
      </c>
      <c r="G127" s="40">
        <v>73.62</v>
      </c>
      <c r="H127" s="40">
        <f t="shared" si="15"/>
        <v>95.02</v>
      </c>
      <c r="I127" s="20">
        <f>F127*H127</f>
        <v>386.73</v>
      </c>
      <c r="J127" s="124">
        <f t="shared" ref="J127:J133" si="17">I127/$I$838</f>
        <v>6.4999999999999997E-4</v>
      </c>
      <c r="K127" s="133"/>
      <c r="L127" s="92"/>
      <c r="M127" s="136"/>
      <c r="N127" s="136"/>
      <c r="O127" s="136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</row>
    <row r="128" spans="1:45" s="32" customFormat="1" ht="38.25" x14ac:dyDescent="0.2">
      <c r="A128" s="30"/>
      <c r="B128" s="22">
        <v>93196</v>
      </c>
      <c r="C128" s="218" t="s">
        <v>612</v>
      </c>
      <c r="D128" s="12" t="s">
        <v>454</v>
      </c>
      <c r="E128" s="19" t="s">
        <v>37</v>
      </c>
      <c r="F128" s="179">
        <v>1.38</v>
      </c>
      <c r="G128" s="40">
        <v>48.1</v>
      </c>
      <c r="H128" s="40">
        <f t="shared" si="15"/>
        <v>62.08</v>
      </c>
      <c r="I128" s="20">
        <f>F128*H128</f>
        <v>85.67</v>
      </c>
      <c r="J128" s="124">
        <f t="shared" si="17"/>
        <v>1.3999999999999999E-4</v>
      </c>
      <c r="K128" s="133"/>
      <c r="L128" s="92"/>
      <c r="M128" s="136"/>
      <c r="N128" s="136"/>
      <c r="O128" s="136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</row>
    <row r="129" spans="1:45" s="32" customFormat="1" ht="38.25" x14ac:dyDescent="0.2">
      <c r="A129" s="30"/>
      <c r="B129" s="22">
        <v>93186</v>
      </c>
      <c r="C129" s="218" t="s">
        <v>613</v>
      </c>
      <c r="D129" s="12" t="s">
        <v>456</v>
      </c>
      <c r="E129" s="19" t="s">
        <v>37</v>
      </c>
      <c r="F129" s="179">
        <v>1.38</v>
      </c>
      <c r="G129" s="40">
        <v>49.15</v>
      </c>
      <c r="H129" s="40">
        <f t="shared" si="15"/>
        <v>63.43</v>
      </c>
      <c r="I129" s="20">
        <f>F129*H129</f>
        <v>87.53</v>
      </c>
      <c r="J129" s="124">
        <f t="shared" si="17"/>
        <v>1.4999999999999999E-4</v>
      </c>
      <c r="K129" s="133"/>
      <c r="L129" s="92"/>
      <c r="M129" s="136"/>
      <c r="N129" s="136"/>
      <c r="O129" s="136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</row>
    <row r="130" spans="1:45" s="32" customFormat="1" ht="38.25" x14ac:dyDescent="0.2">
      <c r="A130" s="30"/>
      <c r="B130" s="22">
        <v>93188</v>
      </c>
      <c r="C130" s="218" t="s">
        <v>614</v>
      </c>
      <c r="D130" s="12" t="s">
        <v>456</v>
      </c>
      <c r="E130" s="19" t="s">
        <v>37</v>
      </c>
      <c r="F130" s="179">
        <v>1.1000000000000001</v>
      </c>
      <c r="G130" s="40">
        <v>44.35</v>
      </c>
      <c r="H130" s="40">
        <f t="shared" si="15"/>
        <v>57.24</v>
      </c>
      <c r="I130" s="20">
        <f>F130*H130</f>
        <v>62.96</v>
      </c>
      <c r="J130" s="124">
        <f t="shared" si="17"/>
        <v>1.1E-4</v>
      </c>
      <c r="K130" s="133"/>
      <c r="L130" s="92"/>
      <c r="M130" s="136"/>
      <c r="N130" s="136"/>
      <c r="O130" s="136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</row>
    <row r="131" spans="1:45" s="32" customFormat="1" ht="25.5" x14ac:dyDescent="0.2">
      <c r="A131" s="30"/>
      <c r="B131" s="22">
        <v>87879</v>
      </c>
      <c r="C131" s="218" t="s">
        <v>615</v>
      </c>
      <c r="D131" s="12" t="s">
        <v>42</v>
      </c>
      <c r="E131" s="21" t="s">
        <v>34</v>
      </c>
      <c r="F131" s="179">
        <v>9.08</v>
      </c>
      <c r="G131" s="40">
        <v>1.98</v>
      </c>
      <c r="H131" s="40">
        <f t="shared" si="15"/>
        <v>2.5499999999999998</v>
      </c>
      <c r="I131" s="20">
        <f>F131*H131</f>
        <v>23.15</v>
      </c>
      <c r="J131" s="124">
        <f t="shared" si="17"/>
        <v>4.0000000000000003E-5</v>
      </c>
      <c r="K131" s="133"/>
      <c r="L131" s="92"/>
      <c r="M131" s="136"/>
      <c r="N131" s="136"/>
      <c r="O131" s="136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</row>
    <row r="132" spans="1:45" s="32" customFormat="1" ht="51" x14ac:dyDescent="0.2">
      <c r="A132" s="30"/>
      <c r="B132" s="22">
        <v>87529</v>
      </c>
      <c r="C132" s="218" t="s">
        <v>616</v>
      </c>
      <c r="D132" s="12" t="s">
        <v>154</v>
      </c>
      <c r="E132" s="19" t="s">
        <v>34</v>
      </c>
      <c r="F132" s="179">
        <v>9.08</v>
      </c>
      <c r="G132" s="40">
        <v>16.82</v>
      </c>
      <c r="H132" s="40">
        <f t="shared" si="15"/>
        <v>21.7</v>
      </c>
      <c r="I132" s="20">
        <f>F132*H132</f>
        <v>197.04</v>
      </c>
      <c r="J132" s="124">
        <f t="shared" si="17"/>
        <v>3.3E-4</v>
      </c>
      <c r="K132" s="133"/>
      <c r="L132" s="92"/>
      <c r="M132" s="136"/>
      <c r="N132" s="136"/>
      <c r="O132" s="136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</row>
    <row r="133" spans="1:45" s="32" customFormat="1" ht="51" x14ac:dyDescent="0.2">
      <c r="A133" s="30"/>
      <c r="B133" s="22">
        <v>87273</v>
      </c>
      <c r="C133" s="218" t="s">
        <v>617</v>
      </c>
      <c r="D133" s="12" t="s">
        <v>168</v>
      </c>
      <c r="E133" s="19" t="s">
        <v>34</v>
      </c>
      <c r="F133" s="179">
        <v>28.17</v>
      </c>
      <c r="G133" s="40">
        <v>35.94</v>
      </c>
      <c r="H133" s="40">
        <f t="shared" si="15"/>
        <v>46.38</v>
      </c>
      <c r="I133" s="20">
        <f>F133*H133</f>
        <v>1306.52</v>
      </c>
      <c r="J133" s="124">
        <f t="shared" si="17"/>
        <v>2.1800000000000001E-3</v>
      </c>
      <c r="K133" s="133"/>
      <c r="L133" s="92"/>
      <c r="M133" s="136"/>
      <c r="N133" s="136"/>
      <c r="O133" s="136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</row>
    <row r="134" spans="1:45" s="32" customFormat="1" x14ac:dyDescent="0.2">
      <c r="A134" s="30"/>
      <c r="B134" s="22"/>
      <c r="C134" s="226" t="s">
        <v>171</v>
      </c>
      <c r="D134" s="84" t="s">
        <v>165</v>
      </c>
      <c r="E134" s="21"/>
      <c r="F134" s="179"/>
      <c r="G134" s="40"/>
      <c r="H134" s="40"/>
      <c r="I134" s="20"/>
      <c r="J134" s="124"/>
      <c r="K134" s="133"/>
      <c r="L134" s="92"/>
      <c r="M134" s="136"/>
      <c r="N134" s="136"/>
      <c r="O134" s="136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</row>
    <row r="135" spans="1:45" s="32" customFormat="1" ht="25.5" x14ac:dyDescent="0.2">
      <c r="A135" s="30"/>
      <c r="B135" s="22">
        <v>88484</v>
      </c>
      <c r="C135" s="218" t="s">
        <v>618</v>
      </c>
      <c r="D135" s="76" t="s">
        <v>156</v>
      </c>
      <c r="E135" s="21" t="s">
        <v>34</v>
      </c>
      <c r="F135" s="179">
        <v>6.45</v>
      </c>
      <c r="G135" s="40">
        <v>1.39</v>
      </c>
      <c r="H135" s="40">
        <f t="shared" si="15"/>
        <v>1.79</v>
      </c>
      <c r="I135" s="20">
        <f>F135*H135</f>
        <v>11.55</v>
      </c>
      <c r="J135" s="124">
        <f>I135/$I$838</f>
        <v>2.0000000000000002E-5</v>
      </c>
      <c r="K135" s="133"/>
      <c r="L135" s="92"/>
      <c r="M135" s="136"/>
      <c r="N135" s="136"/>
      <c r="O135" s="136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</row>
    <row r="136" spans="1:45" s="32" customFormat="1" ht="25.5" x14ac:dyDescent="0.2">
      <c r="A136" s="30"/>
      <c r="B136" s="22">
        <v>88494</v>
      </c>
      <c r="C136" s="218" t="s">
        <v>620</v>
      </c>
      <c r="D136" s="76" t="s">
        <v>158</v>
      </c>
      <c r="E136" s="21" t="s">
        <v>34</v>
      </c>
      <c r="F136" s="179">
        <v>6.45</v>
      </c>
      <c r="G136" s="40">
        <v>10.24</v>
      </c>
      <c r="H136" s="40">
        <f t="shared" si="15"/>
        <v>13.21</v>
      </c>
      <c r="I136" s="20">
        <f>F136*H136</f>
        <v>85.2</v>
      </c>
      <c r="J136" s="124">
        <f>I136/$I$838</f>
        <v>1.3999999999999999E-4</v>
      </c>
      <c r="K136" s="133"/>
      <c r="L136" s="92"/>
      <c r="M136" s="136"/>
      <c r="N136" s="136"/>
      <c r="O136" s="136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</row>
    <row r="137" spans="1:45" s="32" customFormat="1" ht="25.5" x14ac:dyDescent="0.2">
      <c r="A137" s="30"/>
      <c r="B137" s="22">
        <v>88488</v>
      </c>
      <c r="C137" s="218" t="s">
        <v>621</v>
      </c>
      <c r="D137" s="13" t="s">
        <v>157</v>
      </c>
      <c r="E137" s="21" t="s">
        <v>34</v>
      </c>
      <c r="F137" s="179">
        <v>6.45</v>
      </c>
      <c r="G137" s="40">
        <v>8.32</v>
      </c>
      <c r="H137" s="40">
        <f t="shared" si="15"/>
        <v>10.73</v>
      </c>
      <c r="I137" s="20">
        <f>F137*H137</f>
        <v>69.209999999999994</v>
      </c>
      <c r="J137" s="124">
        <f>I137/$I$838</f>
        <v>1.2E-4</v>
      </c>
      <c r="K137" s="133"/>
      <c r="L137" s="92"/>
      <c r="M137" s="136"/>
      <c r="N137" s="136"/>
      <c r="O137" s="136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</row>
    <row r="138" spans="1:45" s="32" customFormat="1" x14ac:dyDescent="0.2">
      <c r="A138" s="30"/>
      <c r="B138" s="22"/>
      <c r="C138" s="226" t="s">
        <v>172</v>
      </c>
      <c r="D138" s="86" t="s">
        <v>153</v>
      </c>
      <c r="E138" s="21"/>
      <c r="F138" s="179"/>
      <c r="G138" s="40"/>
      <c r="H138" s="40"/>
      <c r="I138" s="20"/>
      <c r="J138" s="124"/>
      <c r="K138" s="133"/>
      <c r="L138" s="92"/>
      <c r="M138" s="136"/>
      <c r="N138" s="136"/>
      <c r="O138" s="136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</row>
    <row r="139" spans="1:45" s="32" customFormat="1" ht="25.5" x14ac:dyDescent="0.2">
      <c r="A139" s="30"/>
      <c r="B139" s="22">
        <v>98689</v>
      </c>
      <c r="C139" s="218" t="s">
        <v>622</v>
      </c>
      <c r="D139" s="76" t="s">
        <v>159</v>
      </c>
      <c r="E139" s="21" t="s">
        <v>37</v>
      </c>
      <c r="F139" s="179">
        <v>0.98</v>
      </c>
      <c r="G139" s="40">
        <v>52.28</v>
      </c>
      <c r="H139" s="40">
        <f t="shared" si="15"/>
        <v>67.47</v>
      </c>
      <c r="I139" s="20">
        <f>F139*H139</f>
        <v>66.12</v>
      </c>
      <c r="J139" s="124">
        <f>I139/$I$838</f>
        <v>1.1E-4</v>
      </c>
      <c r="K139" s="133"/>
      <c r="L139" s="92"/>
      <c r="M139" s="136"/>
      <c r="N139" s="136"/>
      <c r="O139" s="136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</row>
    <row r="140" spans="1:45" s="32" customFormat="1" ht="25.5" x14ac:dyDescent="0.2">
      <c r="A140" s="30"/>
      <c r="B140" s="105">
        <v>91341</v>
      </c>
      <c r="C140" s="218" t="s">
        <v>623</v>
      </c>
      <c r="D140" s="76" t="s">
        <v>258</v>
      </c>
      <c r="E140" s="21" t="s">
        <v>34</v>
      </c>
      <c r="F140" s="179">
        <v>1.68</v>
      </c>
      <c r="G140" s="40">
        <v>517.35</v>
      </c>
      <c r="H140" s="40">
        <f t="shared" si="15"/>
        <v>667.74</v>
      </c>
      <c r="I140" s="20">
        <f>F140*H140</f>
        <v>1121.8</v>
      </c>
      <c r="J140" s="124">
        <f>I140/$I$838</f>
        <v>1.8799999999999999E-3</v>
      </c>
      <c r="K140" s="133"/>
      <c r="L140" s="92"/>
      <c r="M140" s="136"/>
      <c r="N140" s="136"/>
      <c r="O140" s="136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</row>
    <row r="141" spans="1:45" s="32" customFormat="1" ht="38.25" x14ac:dyDescent="0.2">
      <c r="A141" s="30"/>
      <c r="B141" s="22" t="s">
        <v>121</v>
      </c>
      <c r="C141" s="218" t="s">
        <v>624</v>
      </c>
      <c r="D141" s="13" t="s">
        <v>173</v>
      </c>
      <c r="E141" s="21" t="s">
        <v>35</v>
      </c>
      <c r="F141" s="179">
        <v>1</v>
      </c>
      <c r="G141" s="40">
        <v>362.06</v>
      </c>
      <c r="H141" s="40">
        <f t="shared" si="15"/>
        <v>467.31</v>
      </c>
      <c r="I141" s="20">
        <f>F141*H141</f>
        <v>467.31</v>
      </c>
      <c r="J141" s="124">
        <f>I141/$I$838</f>
        <v>7.7999999999999999E-4</v>
      </c>
      <c r="K141" s="133"/>
      <c r="L141" s="92"/>
      <c r="M141" s="136"/>
      <c r="N141" s="136"/>
      <c r="O141" s="136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</row>
    <row r="142" spans="1:45" s="32" customFormat="1" x14ac:dyDescent="0.2">
      <c r="A142" s="30"/>
      <c r="B142" s="22"/>
      <c r="C142" s="227" t="s">
        <v>174</v>
      </c>
      <c r="D142" s="84" t="s">
        <v>175</v>
      </c>
      <c r="E142" s="19"/>
      <c r="F142" s="179"/>
      <c r="G142" s="40"/>
      <c r="H142" s="40"/>
      <c r="I142" s="20"/>
      <c r="J142" s="124"/>
      <c r="K142" s="133"/>
      <c r="L142" s="92"/>
      <c r="M142" s="136"/>
      <c r="N142" s="136"/>
      <c r="O142" s="136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</row>
    <row r="143" spans="1:45" s="32" customFormat="1" ht="51" x14ac:dyDescent="0.2">
      <c r="A143" s="30"/>
      <c r="B143" s="22">
        <v>86932</v>
      </c>
      <c r="C143" s="228" t="s">
        <v>625</v>
      </c>
      <c r="D143" s="127" t="s">
        <v>176</v>
      </c>
      <c r="E143" s="19" t="s">
        <v>35</v>
      </c>
      <c r="F143" s="179">
        <v>1</v>
      </c>
      <c r="G143" s="40">
        <v>276.87</v>
      </c>
      <c r="H143" s="40">
        <f t="shared" si="15"/>
        <v>357.35</v>
      </c>
      <c r="I143" s="20">
        <f>F143*H143</f>
        <v>357.35</v>
      </c>
      <c r="J143" s="124">
        <f t="shared" ref="J143:J156" si="18">I143/$I$838</f>
        <v>5.9999999999999995E-4</v>
      </c>
      <c r="K143" s="133"/>
      <c r="L143" s="92"/>
      <c r="M143" s="136"/>
      <c r="N143" s="136"/>
      <c r="O143" s="136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</row>
    <row r="144" spans="1:45" s="32" customFormat="1" ht="25.5" x14ac:dyDescent="0.2">
      <c r="A144" s="30"/>
      <c r="B144" s="22">
        <v>100849</v>
      </c>
      <c r="C144" s="228" t="s">
        <v>626</v>
      </c>
      <c r="D144" s="127" t="s">
        <v>1275</v>
      </c>
      <c r="E144" s="19" t="s">
        <v>35</v>
      </c>
      <c r="F144" s="179">
        <v>1</v>
      </c>
      <c r="G144" s="40">
        <v>21.75</v>
      </c>
      <c r="H144" s="40">
        <f t="shared" ref="H144" si="19">TRUNC((G144*(1+$I$6)),2)</f>
        <v>28.07</v>
      </c>
      <c r="I144" s="20">
        <f>F144*H144</f>
        <v>28.07</v>
      </c>
      <c r="J144" s="124">
        <f t="shared" ref="J144" si="20">I144/$I$838</f>
        <v>5.0000000000000002E-5</v>
      </c>
      <c r="K144" s="133"/>
      <c r="L144" s="92"/>
      <c r="M144" s="136"/>
      <c r="N144" s="136"/>
      <c r="O144" s="136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</row>
    <row r="145" spans="1:45" s="32" customFormat="1" ht="51" x14ac:dyDescent="0.2">
      <c r="A145" s="30"/>
      <c r="B145" s="22">
        <v>86902</v>
      </c>
      <c r="C145" s="228" t="s">
        <v>627</v>
      </c>
      <c r="D145" s="13" t="s">
        <v>177</v>
      </c>
      <c r="E145" s="19" t="s">
        <v>35</v>
      </c>
      <c r="F145" s="179">
        <v>1</v>
      </c>
      <c r="G145" s="40">
        <v>147.24</v>
      </c>
      <c r="H145" s="40">
        <f t="shared" si="15"/>
        <v>190.04</v>
      </c>
      <c r="I145" s="20">
        <f>F145*H145</f>
        <v>190.04</v>
      </c>
      <c r="J145" s="124">
        <f t="shared" si="18"/>
        <v>3.2000000000000003E-4</v>
      </c>
      <c r="K145" s="133"/>
      <c r="L145" s="92"/>
      <c r="M145" s="136"/>
      <c r="N145" s="136"/>
      <c r="O145" s="136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</row>
    <row r="146" spans="1:45" s="32" customFormat="1" ht="25.5" x14ac:dyDescent="0.2">
      <c r="A146" s="30"/>
      <c r="B146" s="22" t="s">
        <v>106</v>
      </c>
      <c r="C146" s="228" t="s">
        <v>628</v>
      </c>
      <c r="D146" s="13" t="s">
        <v>54</v>
      </c>
      <c r="E146" s="19" t="s">
        <v>35</v>
      </c>
      <c r="F146" s="179">
        <v>1</v>
      </c>
      <c r="G146" s="40">
        <v>112.94</v>
      </c>
      <c r="H146" s="40">
        <f t="shared" si="15"/>
        <v>145.77000000000001</v>
      </c>
      <c r="I146" s="20">
        <f>F146*H146</f>
        <v>145.77000000000001</v>
      </c>
      <c r="J146" s="124">
        <f t="shared" si="18"/>
        <v>2.4000000000000001E-4</v>
      </c>
      <c r="K146" s="133"/>
      <c r="L146" s="92"/>
      <c r="M146" s="136"/>
      <c r="N146" s="136"/>
      <c r="O146" s="136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</row>
    <row r="147" spans="1:45" s="32" customFormat="1" ht="38.25" x14ac:dyDescent="0.2">
      <c r="A147" s="30"/>
      <c r="B147" s="22" t="s">
        <v>121</v>
      </c>
      <c r="C147" s="228" t="s">
        <v>629</v>
      </c>
      <c r="D147" s="12" t="s">
        <v>178</v>
      </c>
      <c r="E147" s="19" t="s">
        <v>35</v>
      </c>
      <c r="F147" s="179">
        <v>1</v>
      </c>
      <c r="G147" s="40">
        <v>360</v>
      </c>
      <c r="H147" s="40">
        <f t="shared" si="15"/>
        <v>464.65</v>
      </c>
      <c r="I147" s="20">
        <f>F147*H147</f>
        <v>464.65</v>
      </c>
      <c r="J147" s="124">
        <f t="shared" si="18"/>
        <v>7.7999999999999999E-4</v>
      </c>
      <c r="K147" s="133"/>
      <c r="L147" s="92"/>
      <c r="M147" s="136"/>
      <c r="N147" s="136"/>
      <c r="O147" s="136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</row>
    <row r="148" spans="1:45" s="32" customFormat="1" ht="38.25" x14ac:dyDescent="0.2">
      <c r="A148" s="30"/>
      <c r="B148" s="22" t="s">
        <v>1240</v>
      </c>
      <c r="C148" s="228" t="s">
        <v>630</v>
      </c>
      <c r="D148" s="12" t="s">
        <v>1176</v>
      </c>
      <c r="E148" s="19" t="s">
        <v>34</v>
      </c>
      <c r="F148" s="179">
        <f>0.6*0.9</f>
        <v>0.54</v>
      </c>
      <c r="G148" s="40">
        <v>304.49</v>
      </c>
      <c r="H148" s="40">
        <f t="shared" si="15"/>
        <v>393</v>
      </c>
      <c r="I148" s="20">
        <f>F148*H148</f>
        <v>212.22</v>
      </c>
      <c r="J148" s="124">
        <f t="shared" si="18"/>
        <v>3.5E-4</v>
      </c>
      <c r="K148" s="133"/>
      <c r="L148" s="92"/>
      <c r="M148" s="136"/>
      <c r="N148" s="136"/>
      <c r="O148" s="136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</row>
    <row r="149" spans="1:45" s="32" customFormat="1" ht="25.5" x14ac:dyDescent="0.2">
      <c r="A149" s="30"/>
      <c r="B149" s="22">
        <v>37401</v>
      </c>
      <c r="C149" s="228" t="s">
        <v>631</v>
      </c>
      <c r="D149" s="12" t="s">
        <v>1195</v>
      </c>
      <c r="E149" s="19" t="s">
        <v>35</v>
      </c>
      <c r="F149" s="179">
        <v>1</v>
      </c>
      <c r="G149" s="40">
        <v>27.87</v>
      </c>
      <c r="H149" s="40">
        <f t="shared" si="15"/>
        <v>35.97</v>
      </c>
      <c r="I149" s="20">
        <f>F149*H149</f>
        <v>35.97</v>
      </c>
      <c r="J149" s="124">
        <f t="shared" si="18"/>
        <v>6.0000000000000002E-5</v>
      </c>
      <c r="K149" s="133"/>
      <c r="L149" s="92"/>
      <c r="M149" s="136"/>
      <c r="N149" s="136"/>
      <c r="O149" s="136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</row>
    <row r="150" spans="1:45" s="32" customFormat="1" ht="25.5" x14ac:dyDescent="0.2">
      <c r="A150" s="30"/>
      <c r="B150" s="22">
        <v>95544</v>
      </c>
      <c r="C150" s="228" t="s">
        <v>632</v>
      </c>
      <c r="D150" s="12" t="s">
        <v>1193</v>
      </c>
      <c r="E150" s="19" t="s">
        <v>35</v>
      </c>
      <c r="F150" s="179">
        <v>1</v>
      </c>
      <c r="G150" s="40">
        <v>24.43</v>
      </c>
      <c r="H150" s="40">
        <f t="shared" si="15"/>
        <v>31.53</v>
      </c>
      <c r="I150" s="20">
        <f>F150*H150</f>
        <v>31.53</v>
      </c>
      <c r="J150" s="124">
        <f t="shared" si="18"/>
        <v>5.0000000000000002E-5</v>
      </c>
      <c r="K150" s="133"/>
      <c r="L150" s="92"/>
      <c r="M150" s="136"/>
      <c r="N150" s="136"/>
      <c r="O150" s="136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</row>
    <row r="151" spans="1:45" s="32" customFormat="1" ht="25.5" x14ac:dyDescent="0.2">
      <c r="A151" s="30"/>
      <c r="B151" s="22">
        <v>95547</v>
      </c>
      <c r="C151" s="228" t="s">
        <v>633</v>
      </c>
      <c r="D151" s="12" t="s">
        <v>1194</v>
      </c>
      <c r="E151" s="19" t="s">
        <v>35</v>
      </c>
      <c r="F151" s="179">
        <v>1</v>
      </c>
      <c r="G151" s="40">
        <v>31.81</v>
      </c>
      <c r="H151" s="40">
        <f t="shared" si="15"/>
        <v>41.05</v>
      </c>
      <c r="I151" s="20">
        <f>F151*H151</f>
        <v>41.05</v>
      </c>
      <c r="J151" s="124">
        <f t="shared" si="18"/>
        <v>6.9999999999999994E-5</v>
      </c>
      <c r="K151" s="133"/>
      <c r="L151" s="92"/>
      <c r="M151" s="136"/>
      <c r="N151" s="136"/>
      <c r="O151" s="136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</row>
    <row r="152" spans="1:45" s="32" customFormat="1" ht="38.25" x14ac:dyDescent="0.2">
      <c r="A152" s="30"/>
      <c r="B152" s="22">
        <v>100866</v>
      </c>
      <c r="C152" s="228" t="s">
        <v>1171</v>
      </c>
      <c r="D152" s="127" t="s">
        <v>179</v>
      </c>
      <c r="E152" s="19" t="s">
        <v>35</v>
      </c>
      <c r="F152" s="179">
        <v>1</v>
      </c>
      <c r="G152" s="40">
        <v>154.88999999999999</v>
      </c>
      <c r="H152" s="40">
        <f t="shared" si="15"/>
        <v>199.91</v>
      </c>
      <c r="I152" s="20">
        <f>F152*H152</f>
        <v>199.91</v>
      </c>
      <c r="J152" s="124">
        <f t="shared" si="18"/>
        <v>3.3E-4</v>
      </c>
      <c r="K152" s="133"/>
      <c r="L152" s="92"/>
      <c r="M152" s="136"/>
      <c r="N152" s="136"/>
      <c r="O152" s="136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</row>
    <row r="153" spans="1:45" s="32" customFormat="1" ht="38.25" x14ac:dyDescent="0.2">
      <c r="A153" s="30"/>
      <c r="B153" s="22">
        <v>100867</v>
      </c>
      <c r="C153" s="228" t="s">
        <v>1202</v>
      </c>
      <c r="D153" s="127" t="s">
        <v>180</v>
      </c>
      <c r="E153" s="19" t="s">
        <v>35</v>
      </c>
      <c r="F153" s="179">
        <v>3</v>
      </c>
      <c r="G153" s="40">
        <v>165.09</v>
      </c>
      <c r="H153" s="40">
        <f t="shared" si="15"/>
        <v>213.08</v>
      </c>
      <c r="I153" s="20">
        <f>F153*H153</f>
        <v>639.24</v>
      </c>
      <c r="J153" s="124">
        <f t="shared" si="18"/>
        <v>1.07E-3</v>
      </c>
      <c r="K153" s="133"/>
      <c r="L153" s="92"/>
      <c r="M153" s="136"/>
      <c r="N153" s="136"/>
      <c r="O153" s="136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</row>
    <row r="154" spans="1:45" s="32" customFormat="1" ht="38.25" x14ac:dyDescent="0.2">
      <c r="A154" s="30"/>
      <c r="B154" s="22">
        <v>100868</v>
      </c>
      <c r="C154" s="228" t="s">
        <v>1203</v>
      </c>
      <c r="D154" s="127" t="s">
        <v>181</v>
      </c>
      <c r="E154" s="19" t="s">
        <v>35</v>
      </c>
      <c r="F154" s="179">
        <v>2</v>
      </c>
      <c r="G154" s="40">
        <v>171.87</v>
      </c>
      <c r="H154" s="40">
        <f t="shared" si="15"/>
        <v>221.83</v>
      </c>
      <c r="I154" s="20">
        <f>F154*H154</f>
        <v>443.66</v>
      </c>
      <c r="J154" s="124">
        <f t="shared" si="18"/>
        <v>7.3999999999999999E-4</v>
      </c>
      <c r="K154" s="133"/>
      <c r="L154" s="92"/>
      <c r="M154" s="136"/>
      <c r="N154" s="136"/>
      <c r="O154" s="136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</row>
    <row r="155" spans="1:45" s="32" customFormat="1" ht="51" x14ac:dyDescent="0.2">
      <c r="A155" s="30"/>
      <c r="B155" s="22" t="s">
        <v>1243</v>
      </c>
      <c r="C155" s="228" t="s">
        <v>1204</v>
      </c>
      <c r="D155" s="12" t="s">
        <v>183</v>
      </c>
      <c r="E155" s="19" t="s">
        <v>35</v>
      </c>
      <c r="F155" s="179">
        <v>2</v>
      </c>
      <c r="G155" s="40">
        <v>139.87</v>
      </c>
      <c r="H155" s="40">
        <f t="shared" si="15"/>
        <v>180.53</v>
      </c>
      <c r="I155" s="20">
        <f>F155*H155</f>
        <v>361.06</v>
      </c>
      <c r="J155" s="124">
        <f t="shared" si="18"/>
        <v>5.9999999999999995E-4</v>
      </c>
      <c r="K155" s="133"/>
      <c r="L155" s="92"/>
      <c r="M155" s="136"/>
      <c r="N155" s="136"/>
      <c r="O155" s="136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</row>
    <row r="156" spans="1:45" s="32" customFormat="1" ht="38.25" x14ac:dyDescent="0.2">
      <c r="A156" s="30"/>
      <c r="B156" s="22">
        <v>100875</v>
      </c>
      <c r="C156" s="228" t="s">
        <v>1274</v>
      </c>
      <c r="D156" s="127" t="s">
        <v>182</v>
      </c>
      <c r="E156" s="19" t="s">
        <v>35</v>
      </c>
      <c r="F156" s="179">
        <v>1</v>
      </c>
      <c r="G156" s="40">
        <v>556.16999999999996</v>
      </c>
      <c r="H156" s="40">
        <f t="shared" si="15"/>
        <v>717.84</v>
      </c>
      <c r="I156" s="20">
        <f>F156*H156</f>
        <v>717.84</v>
      </c>
      <c r="J156" s="124">
        <f t="shared" si="18"/>
        <v>1.1999999999999999E-3</v>
      </c>
      <c r="K156" s="133"/>
      <c r="L156" s="92"/>
      <c r="M156" s="136"/>
      <c r="N156" s="136"/>
      <c r="O156" s="136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</row>
    <row r="157" spans="1:45" s="32" customFormat="1" x14ac:dyDescent="0.2">
      <c r="A157" s="30"/>
      <c r="B157" s="22"/>
      <c r="C157" s="327" t="s">
        <v>162</v>
      </c>
      <c r="D157" s="316"/>
      <c r="E157" s="316"/>
      <c r="F157" s="316"/>
      <c r="G157" s="316"/>
      <c r="H157" s="317"/>
      <c r="I157" s="109">
        <f>SUM(I114:I156)</f>
        <v>8643.18</v>
      </c>
      <c r="J157" s="124"/>
      <c r="K157" s="133"/>
      <c r="L157" s="92"/>
      <c r="M157" s="136"/>
      <c r="N157" s="136"/>
      <c r="O157" s="136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</row>
    <row r="158" spans="1:45" s="32" customFormat="1" x14ac:dyDescent="0.2">
      <c r="A158" s="30"/>
      <c r="B158" s="22"/>
      <c r="C158" s="225" t="s">
        <v>75</v>
      </c>
      <c r="D158" s="75" t="s">
        <v>184</v>
      </c>
      <c r="E158" s="175"/>
      <c r="F158" s="180"/>
      <c r="G158" s="57"/>
      <c r="H158" s="57"/>
      <c r="I158" s="58"/>
      <c r="J158" s="124"/>
      <c r="K158" s="133"/>
      <c r="L158" s="92"/>
      <c r="M158" s="136"/>
      <c r="N158" s="136"/>
      <c r="O158" s="136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</row>
    <row r="159" spans="1:45" s="32" customFormat="1" x14ac:dyDescent="0.2">
      <c r="A159" s="30"/>
      <c r="B159" s="22"/>
      <c r="C159" s="226" t="s">
        <v>364</v>
      </c>
      <c r="D159" s="86" t="s">
        <v>144</v>
      </c>
      <c r="E159" s="21"/>
      <c r="F159" s="179"/>
      <c r="G159" s="40"/>
      <c r="H159" s="40"/>
      <c r="I159" s="20"/>
      <c r="J159" s="47"/>
      <c r="K159" s="133"/>
      <c r="L159" s="92"/>
      <c r="M159" s="136"/>
      <c r="N159" s="136"/>
      <c r="O159" s="136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</row>
    <row r="160" spans="1:45" s="32" customFormat="1" ht="25.5" x14ac:dyDescent="0.2">
      <c r="A160" s="30"/>
      <c r="B160" s="22">
        <v>97622</v>
      </c>
      <c r="C160" s="218" t="s">
        <v>634</v>
      </c>
      <c r="D160" s="13" t="s">
        <v>135</v>
      </c>
      <c r="E160" s="21" t="s">
        <v>36</v>
      </c>
      <c r="F160" s="179">
        <f>(0.38*0.12*2.9)*2</f>
        <v>0.26</v>
      </c>
      <c r="G160" s="40">
        <v>24.98</v>
      </c>
      <c r="H160" s="40">
        <f t="shared" ref="H160:H191" si="21">TRUNC((G160*(1+$I$6)),2)</f>
        <v>32.24</v>
      </c>
      <c r="I160" s="20">
        <f>F160*H160</f>
        <v>8.3800000000000008</v>
      </c>
      <c r="J160" s="124">
        <f>I160/$I$838</f>
        <v>1.0000000000000001E-5</v>
      </c>
      <c r="K160" s="133"/>
      <c r="L160" s="92"/>
      <c r="M160" s="136"/>
      <c r="N160" s="136"/>
      <c r="O160" s="136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</row>
    <row r="161" spans="1:45" s="32" customFormat="1" ht="25.5" x14ac:dyDescent="0.2">
      <c r="A161" s="30"/>
      <c r="B161" s="22">
        <v>97644</v>
      </c>
      <c r="C161" s="218" t="s">
        <v>635</v>
      </c>
      <c r="D161" s="13" t="s">
        <v>130</v>
      </c>
      <c r="E161" s="21" t="s">
        <v>34</v>
      </c>
      <c r="F161" s="179">
        <v>1.89</v>
      </c>
      <c r="G161" s="40">
        <v>4.1399999999999997</v>
      </c>
      <c r="H161" s="40">
        <f t="shared" si="21"/>
        <v>5.34</v>
      </c>
      <c r="I161" s="20">
        <f>F161*H161</f>
        <v>10.09</v>
      </c>
      <c r="J161" s="124">
        <f>I161/$I$838</f>
        <v>2.0000000000000002E-5</v>
      </c>
      <c r="K161" s="133"/>
      <c r="L161" s="92"/>
      <c r="M161" s="136"/>
      <c r="N161" s="136"/>
      <c r="O161" s="136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</row>
    <row r="162" spans="1:45" s="32" customFormat="1" ht="25.5" x14ac:dyDescent="0.2">
      <c r="A162" s="30"/>
      <c r="B162" s="22">
        <v>97645</v>
      </c>
      <c r="C162" s="218" t="s">
        <v>636</v>
      </c>
      <c r="D162" s="13" t="s">
        <v>131</v>
      </c>
      <c r="E162" s="21" t="s">
        <v>34</v>
      </c>
      <c r="F162" s="179">
        <v>8.92</v>
      </c>
      <c r="G162" s="40">
        <v>15.18</v>
      </c>
      <c r="H162" s="40">
        <f t="shared" si="21"/>
        <v>19.59</v>
      </c>
      <c r="I162" s="20">
        <f>F162*H162</f>
        <v>174.74</v>
      </c>
      <c r="J162" s="124">
        <f>I162/$I$838</f>
        <v>2.9E-4</v>
      </c>
      <c r="K162" s="133"/>
      <c r="L162" s="92"/>
      <c r="M162" s="136"/>
      <c r="N162" s="136"/>
      <c r="O162" s="136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</row>
    <row r="163" spans="1:45" s="32" customFormat="1" ht="25.5" x14ac:dyDescent="0.2">
      <c r="A163" s="30"/>
      <c r="B163" s="22">
        <v>97633</v>
      </c>
      <c r="C163" s="218" t="s">
        <v>637</v>
      </c>
      <c r="D163" s="13" t="s">
        <v>151</v>
      </c>
      <c r="E163" s="21" t="s">
        <v>34</v>
      </c>
      <c r="F163" s="179">
        <v>42.68</v>
      </c>
      <c r="G163" s="40">
        <v>10.1</v>
      </c>
      <c r="H163" s="40">
        <f t="shared" si="21"/>
        <v>13.03</v>
      </c>
      <c r="I163" s="20">
        <f>F163*H163</f>
        <v>556.12</v>
      </c>
      <c r="J163" s="124">
        <f>I163/$I$838</f>
        <v>9.3000000000000005E-4</v>
      </c>
      <c r="K163" s="133"/>
      <c r="L163" s="92"/>
      <c r="M163" s="136"/>
      <c r="N163" s="136"/>
      <c r="O163" s="136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</row>
    <row r="164" spans="1:45" s="32" customFormat="1" ht="25.5" x14ac:dyDescent="0.2">
      <c r="A164" s="30"/>
      <c r="B164" s="22" t="s">
        <v>1235</v>
      </c>
      <c r="C164" s="218" t="s">
        <v>638</v>
      </c>
      <c r="D164" s="12" t="s">
        <v>265</v>
      </c>
      <c r="E164" s="21" t="s">
        <v>34</v>
      </c>
      <c r="F164" s="21">
        <f>F175+F176</f>
        <v>25.24</v>
      </c>
      <c r="G164" s="40">
        <v>0.95</v>
      </c>
      <c r="H164" s="40">
        <f t="shared" si="21"/>
        <v>1.22</v>
      </c>
      <c r="I164" s="20">
        <f>F164*H164</f>
        <v>30.79</v>
      </c>
      <c r="J164" s="124">
        <f>I164/$I$838</f>
        <v>5.0000000000000002E-5</v>
      </c>
      <c r="K164" s="133"/>
      <c r="L164" s="92"/>
      <c r="M164" s="136"/>
      <c r="N164" s="136"/>
      <c r="O164" s="136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</row>
    <row r="165" spans="1:45" s="32" customFormat="1" x14ac:dyDescent="0.2">
      <c r="A165" s="30"/>
      <c r="B165" s="22"/>
      <c r="C165" s="226" t="s">
        <v>365</v>
      </c>
      <c r="D165" s="84" t="s">
        <v>147</v>
      </c>
      <c r="E165" s="21"/>
      <c r="F165" s="181"/>
      <c r="G165" s="40"/>
      <c r="H165" s="40"/>
      <c r="I165" s="20"/>
      <c r="J165" s="124"/>
      <c r="K165" s="133"/>
      <c r="L165" s="92"/>
      <c r="M165" s="136"/>
      <c r="N165" s="136"/>
      <c r="O165" s="136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</row>
    <row r="166" spans="1:45" s="32" customFormat="1" ht="51" x14ac:dyDescent="0.2">
      <c r="A166" s="30"/>
      <c r="B166" s="22">
        <v>87620</v>
      </c>
      <c r="C166" s="218" t="s">
        <v>639</v>
      </c>
      <c r="D166" s="12" t="s">
        <v>163</v>
      </c>
      <c r="E166" s="21" t="s">
        <v>34</v>
      </c>
      <c r="F166" s="179">
        <v>42.77</v>
      </c>
      <c r="G166" s="40">
        <v>16.73</v>
      </c>
      <c r="H166" s="40">
        <f t="shared" si="21"/>
        <v>21.59</v>
      </c>
      <c r="I166" s="20">
        <f>F166*H166</f>
        <v>923.4</v>
      </c>
      <c r="J166" s="124">
        <f>I166/$I$838</f>
        <v>1.5399999999999999E-3</v>
      </c>
      <c r="K166" s="133"/>
      <c r="L166" s="92"/>
      <c r="M166" s="136"/>
      <c r="N166" s="136"/>
      <c r="O166" s="136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</row>
    <row r="167" spans="1:45" s="32" customFormat="1" ht="51" x14ac:dyDescent="0.2">
      <c r="A167" s="30"/>
      <c r="B167" s="22">
        <v>87251</v>
      </c>
      <c r="C167" s="218" t="s">
        <v>641</v>
      </c>
      <c r="D167" s="11" t="s">
        <v>1209</v>
      </c>
      <c r="E167" s="21" t="s">
        <v>34</v>
      </c>
      <c r="F167" s="179">
        <v>42.77</v>
      </c>
      <c r="G167" s="40">
        <v>22.44</v>
      </c>
      <c r="H167" s="40">
        <f t="shared" si="21"/>
        <v>28.96</v>
      </c>
      <c r="I167" s="20">
        <f>F167*H167</f>
        <v>1238.6199999999999</v>
      </c>
      <c r="J167" s="124">
        <f>I167/$I$838</f>
        <v>2.0699999999999998E-3</v>
      </c>
      <c r="K167" s="133"/>
      <c r="L167" s="92"/>
      <c r="M167" s="136"/>
      <c r="N167" s="136"/>
      <c r="O167" s="136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</row>
    <row r="168" spans="1:45" s="32" customFormat="1" ht="25.5" x14ac:dyDescent="0.2">
      <c r="A168" s="30"/>
      <c r="B168" s="22">
        <v>98689</v>
      </c>
      <c r="C168" s="218" t="s">
        <v>642</v>
      </c>
      <c r="D168" s="76" t="s">
        <v>148</v>
      </c>
      <c r="E168" s="21" t="s">
        <v>37</v>
      </c>
      <c r="F168" s="179">
        <v>0.9</v>
      </c>
      <c r="G168" s="40">
        <v>52.28</v>
      </c>
      <c r="H168" s="40">
        <f t="shared" si="21"/>
        <v>67.47</v>
      </c>
      <c r="I168" s="20">
        <f>F168*H168</f>
        <v>60.72</v>
      </c>
      <c r="J168" s="124">
        <f>I168/$I$838</f>
        <v>1E-4</v>
      </c>
      <c r="K168" s="133"/>
      <c r="L168" s="92"/>
      <c r="M168" s="136"/>
      <c r="N168" s="136"/>
      <c r="O168" s="136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</row>
    <row r="169" spans="1:45" s="32" customFormat="1" x14ac:dyDescent="0.2">
      <c r="A169" s="30"/>
      <c r="B169" s="22"/>
      <c r="C169" s="226" t="s">
        <v>366</v>
      </c>
      <c r="D169" s="84" t="s">
        <v>150</v>
      </c>
      <c r="E169" s="85"/>
      <c r="F169" s="181"/>
      <c r="G169" s="40"/>
      <c r="H169" s="40"/>
      <c r="I169" s="20"/>
      <c r="J169" s="124"/>
      <c r="K169" s="133"/>
      <c r="L169" s="92"/>
      <c r="M169" s="136"/>
      <c r="N169" s="136"/>
      <c r="O169" s="136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</row>
    <row r="170" spans="1:45" s="32" customFormat="1" ht="51" x14ac:dyDescent="0.2">
      <c r="A170" s="30"/>
      <c r="B170" s="22">
        <v>87508</v>
      </c>
      <c r="C170" s="218" t="s">
        <v>643</v>
      </c>
      <c r="D170" s="13" t="s">
        <v>1050</v>
      </c>
      <c r="E170" s="21" t="s">
        <v>34</v>
      </c>
      <c r="F170" s="179">
        <v>2.36</v>
      </c>
      <c r="G170" s="40">
        <v>48.51</v>
      </c>
      <c r="H170" s="40">
        <f t="shared" si="21"/>
        <v>62.61</v>
      </c>
      <c r="I170" s="20">
        <f>F170*H170</f>
        <v>147.76</v>
      </c>
      <c r="J170" s="124">
        <f t="shared" ref="J170:J181" si="22">I170/$I$838</f>
        <v>2.5000000000000001E-4</v>
      </c>
      <c r="K170" s="133"/>
      <c r="L170" s="92"/>
      <c r="M170" s="136"/>
      <c r="N170" s="136"/>
      <c r="O170" s="136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</row>
    <row r="171" spans="1:45" s="32" customFormat="1" ht="25.5" x14ac:dyDescent="0.2">
      <c r="A171" s="30"/>
      <c r="B171" s="22">
        <v>87879</v>
      </c>
      <c r="C171" s="218" t="s">
        <v>644</v>
      </c>
      <c r="D171" s="12" t="s">
        <v>42</v>
      </c>
      <c r="E171" s="21" t="s">
        <v>34</v>
      </c>
      <c r="F171" s="179">
        <f>5.96+0.35+0.35</f>
        <v>6.66</v>
      </c>
      <c r="G171" s="40">
        <v>1.98</v>
      </c>
      <c r="H171" s="40">
        <f t="shared" si="21"/>
        <v>2.5499999999999998</v>
      </c>
      <c r="I171" s="20">
        <f>F171*H171</f>
        <v>16.98</v>
      </c>
      <c r="J171" s="124">
        <f t="shared" si="22"/>
        <v>3.0000000000000001E-5</v>
      </c>
      <c r="K171" s="133"/>
      <c r="L171" s="92"/>
      <c r="M171" s="136"/>
      <c r="N171" s="136"/>
      <c r="O171" s="136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</row>
    <row r="172" spans="1:45" s="32" customFormat="1" ht="51" x14ac:dyDescent="0.2">
      <c r="A172" s="30"/>
      <c r="B172" s="22">
        <v>87529</v>
      </c>
      <c r="C172" s="218" t="s">
        <v>645</v>
      </c>
      <c r="D172" s="12" t="s">
        <v>154</v>
      </c>
      <c r="E172" s="19" t="s">
        <v>34</v>
      </c>
      <c r="F172" s="179">
        <f>5.96+0.35+0.35</f>
        <v>6.66</v>
      </c>
      <c r="G172" s="40">
        <v>16.82</v>
      </c>
      <c r="H172" s="40">
        <f t="shared" si="21"/>
        <v>21.7</v>
      </c>
      <c r="I172" s="20">
        <f>F172*H172</f>
        <v>144.52000000000001</v>
      </c>
      <c r="J172" s="124">
        <f t="shared" si="22"/>
        <v>2.4000000000000001E-4</v>
      </c>
      <c r="K172" s="133"/>
      <c r="L172" s="92"/>
      <c r="M172" s="136"/>
      <c r="N172" s="136"/>
      <c r="O172" s="136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</row>
    <row r="173" spans="1:45" s="32" customFormat="1" ht="38.25" x14ac:dyDescent="0.2">
      <c r="A173" s="30"/>
      <c r="B173" s="22">
        <v>93196</v>
      </c>
      <c r="C173" s="218" t="s">
        <v>646</v>
      </c>
      <c r="D173" s="12" t="s">
        <v>454</v>
      </c>
      <c r="E173" s="19" t="s">
        <v>37</v>
      </c>
      <c r="F173" s="179">
        <v>1.95</v>
      </c>
      <c r="G173" s="40">
        <v>48.1</v>
      </c>
      <c r="H173" s="40">
        <f t="shared" si="21"/>
        <v>62.08</v>
      </c>
      <c r="I173" s="20">
        <f>F173*H173</f>
        <v>121.06</v>
      </c>
      <c r="J173" s="124">
        <f t="shared" si="22"/>
        <v>2.0000000000000001E-4</v>
      </c>
      <c r="K173" s="133"/>
      <c r="L173" s="92"/>
      <c r="M173" s="136"/>
      <c r="N173" s="136"/>
      <c r="O173" s="136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</row>
    <row r="174" spans="1:45" s="32" customFormat="1" ht="38.25" x14ac:dyDescent="0.2">
      <c r="A174" s="30"/>
      <c r="B174" s="22">
        <v>93197</v>
      </c>
      <c r="C174" s="218" t="s">
        <v>647</v>
      </c>
      <c r="D174" s="12" t="s">
        <v>455</v>
      </c>
      <c r="E174" s="19" t="s">
        <v>37</v>
      </c>
      <c r="F174" s="179">
        <v>5.4</v>
      </c>
      <c r="G174" s="40">
        <v>53.86</v>
      </c>
      <c r="H174" s="40">
        <f t="shared" si="21"/>
        <v>69.510000000000005</v>
      </c>
      <c r="I174" s="20">
        <f>F174*H174</f>
        <v>375.35</v>
      </c>
      <c r="J174" s="124">
        <f t="shared" si="22"/>
        <v>6.3000000000000003E-4</v>
      </c>
      <c r="K174" s="133"/>
      <c r="L174" s="92"/>
      <c r="M174" s="136"/>
      <c r="N174" s="136"/>
      <c r="O174" s="136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</row>
    <row r="175" spans="1:45" s="32" customFormat="1" ht="63.75" x14ac:dyDescent="0.2">
      <c r="A175" s="30"/>
      <c r="B175" s="22" t="s">
        <v>1224</v>
      </c>
      <c r="C175" s="218" t="s">
        <v>648</v>
      </c>
      <c r="D175" s="12" t="s">
        <v>1210</v>
      </c>
      <c r="E175" s="19" t="s">
        <v>34</v>
      </c>
      <c r="F175" s="21">
        <v>2.52</v>
      </c>
      <c r="G175" s="40">
        <v>88.58</v>
      </c>
      <c r="H175" s="40">
        <f t="shared" si="21"/>
        <v>114.33</v>
      </c>
      <c r="I175" s="20">
        <f>F175*H175</f>
        <v>288.11</v>
      </c>
      <c r="J175" s="124">
        <f t="shared" si="22"/>
        <v>4.8000000000000001E-4</v>
      </c>
      <c r="K175" s="133"/>
      <c r="L175" s="92"/>
      <c r="M175" s="136"/>
      <c r="N175" s="136"/>
      <c r="O175" s="136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</row>
    <row r="176" spans="1:45" s="32" customFormat="1" ht="63.75" x14ac:dyDescent="0.2">
      <c r="A176" s="30"/>
      <c r="B176" s="22" t="s">
        <v>1225</v>
      </c>
      <c r="C176" s="218" t="s">
        <v>649</v>
      </c>
      <c r="D176" s="12" t="s">
        <v>1211</v>
      </c>
      <c r="E176" s="19" t="s">
        <v>34</v>
      </c>
      <c r="F176" s="21">
        <v>22.72</v>
      </c>
      <c r="G176" s="40">
        <v>84.55</v>
      </c>
      <c r="H176" s="40">
        <f t="shared" si="21"/>
        <v>109.12</v>
      </c>
      <c r="I176" s="20">
        <f>F176*H176</f>
        <v>2479.21</v>
      </c>
      <c r="J176" s="124">
        <f t="shared" si="22"/>
        <v>4.1399999999999996E-3</v>
      </c>
      <c r="K176" s="133"/>
      <c r="L176" s="92"/>
      <c r="M176" s="136"/>
      <c r="N176" s="136"/>
      <c r="O176" s="136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</row>
    <row r="177" spans="1:45" s="32" customFormat="1" ht="25.5" x14ac:dyDescent="0.2">
      <c r="A177" s="30"/>
      <c r="B177" s="22">
        <v>88485</v>
      </c>
      <c r="C177" s="218" t="s">
        <v>650</v>
      </c>
      <c r="D177" s="76" t="s">
        <v>155</v>
      </c>
      <c r="E177" s="21" t="s">
        <v>34</v>
      </c>
      <c r="F177" s="179">
        <v>40.65</v>
      </c>
      <c r="G177" s="40">
        <v>1.18</v>
      </c>
      <c r="H177" s="40">
        <f t="shared" si="21"/>
        <v>1.52</v>
      </c>
      <c r="I177" s="20">
        <f>F177*H177</f>
        <v>61.79</v>
      </c>
      <c r="J177" s="124">
        <f t="shared" si="22"/>
        <v>1E-4</v>
      </c>
      <c r="K177" s="133"/>
      <c r="L177" s="92"/>
      <c r="M177" s="136"/>
      <c r="N177" s="136"/>
      <c r="O177" s="136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</row>
    <row r="178" spans="1:45" s="32" customFormat="1" ht="25.5" x14ac:dyDescent="0.2">
      <c r="A178" s="30"/>
      <c r="B178" s="22">
        <v>88497</v>
      </c>
      <c r="C178" s="218" t="s">
        <v>651</v>
      </c>
      <c r="D178" s="76" t="s">
        <v>102</v>
      </c>
      <c r="E178" s="21" t="s">
        <v>34</v>
      </c>
      <c r="F178" s="179">
        <v>40.65</v>
      </c>
      <c r="G178" s="40">
        <v>7.81</v>
      </c>
      <c r="H178" s="40">
        <f t="shared" si="21"/>
        <v>10.08</v>
      </c>
      <c r="I178" s="20">
        <f>F178*H178</f>
        <v>409.75</v>
      </c>
      <c r="J178" s="124">
        <f t="shared" si="22"/>
        <v>6.8999999999999997E-4</v>
      </c>
      <c r="K178" s="133"/>
      <c r="L178" s="92"/>
      <c r="M178" s="136"/>
      <c r="N178" s="136"/>
      <c r="O178" s="136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</row>
    <row r="179" spans="1:45" s="32" customFormat="1" ht="25.5" x14ac:dyDescent="0.2">
      <c r="A179" s="30"/>
      <c r="B179" s="22">
        <v>88489</v>
      </c>
      <c r="C179" s="218" t="s">
        <v>652</v>
      </c>
      <c r="D179" s="13" t="s">
        <v>43</v>
      </c>
      <c r="E179" s="21" t="s">
        <v>34</v>
      </c>
      <c r="F179" s="179">
        <v>40.65</v>
      </c>
      <c r="G179" s="40">
        <v>7.37</v>
      </c>
      <c r="H179" s="40">
        <f t="shared" si="21"/>
        <v>9.51</v>
      </c>
      <c r="I179" s="20">
        <f>F179*H179</f>
        <v>386.58</v>
      </c>
      <c r="J179" s="124">
        <f t="shared" si="22"/>
        <v>6.4999999999999997E-4</v>
      </c>
      <c r="K179" s="133"/>
      <c r="L179" s="92"/>
      <c r="M179" s="136"/>
      <c r="N179" s="136"/>
      <c r="O179" s="136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</row>
    <row r="180" spans="1:45" s="32" customFormat="1" ht="38.25" x14ac:dyDescent="0.2">
      <c r="A180" s="30"/>
      <c r="B180" s="22" t="s">
        <v>1231</v>
      </c>
      <c r="C180" s="218" t="s">
        <v>653</v>
      </c>
      <c r="D180" s="12" t="s">
        <v>569</v>
      </c>
      <c r="E180" s="21" t="s">
        <v>37</v>
      </c>
      <c r="F180" s="179">
        <v>16.88</v>
      </c>
      <c r="G180" s="40">
        <v>3.29</v>
      </c>
      <c r="H180" s="40">
        <f t="shared" si="21"/>
        <v>4.24</v>
      </c>
      <c r="I180" s="20">
        <f>F180*H180</f>
        <v>71.569999999999993</v>
      </c>
      <c r="J180" s="124">
        <f t="shared" si="22"/>
        <v>1.2E-4</v>
      </c>
      <c r="K180" s="133"/>
      <c r="L180" s="92"/>
      <c r="M180" s="136"/>
      <c r="N180" s="136"/>
      <c r="O180" s="136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</row>
    <row r="181" spans="1:45" s="32" customFormat="1" ht="38.25" x14ac:dyDescent="0.2">
      <c r="A181" s="30"/>
      <c r="B181" s="22">
        <v>102219</v>
      </c>
      <c r="C181" s="218" t="s">
        <v>1213</v>
      </c>
      <c r="D181" s="12" t="s">
        <v>1167</v>
      </c>
      <c r="E181" s="21" t="s">
        <v>34</v>
      </c>
      <c r="F181" s="179">
        <f>F180*0.1</f>
        <v>1.69</v>
      </c>
      <c r="G181" s="40">
        <v>7.68</v>
      </c>
      <c r="H181" s="40">
        <f t="shared" si="21"/>
        <v>9.91</v>
      </c>
      <c r="I181" s="20">
        <f>F181*H181</f>
        <v>16.75</v>
      </c>
      <c r="J181" s="124">
        <f t="shared" si="22"/>
        <v>3.0000000000000001E-5</v>
      </c>
      <c r="K181" s="133"/>
      <c r="L181" s="92"/>
      <c r="M181" s="136"/>
      <c r="N181" s="136"/>
      <c r="O181" s="136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</row>
    <row r="182" spans="1:45" s="32" customFormat="1" x14ac:dyDescent="0.2">
      <c r="A182" s="30"/>
      <c r="B182" s="22"/>
      <c r="C182" s="226" t="s">
        <v>367</v>
      </c>
      <c r="D182" s="84" t="s">
        <v>165</v>
      </c>
      <c r="E182" s="21"/>
      <c r="F182" s="179"/>
      <c r="G182" s="40"/>
      <c r="H182" s="40"/>
      <c r="I182" s="20"/>
      <c r="J182" s="124"/>
      <c r="K182" s="133"/>
      <c r="L182" s="92"/>
      <c r="M182" s="136"/>
      <c r="N182" s="136"/>
      <c r="O182" s="136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</row>
    <row r="183" spans="1:45" s="32" customFormat="1" ht="25.5" x14ac:dyDescent="0.2">
      <c r="A183" s="30"/>
      <c r="B183" s="22">
        <v>88484</v>
      </c>
      <c r="C183" s="218" t="s">
        <v>654</v>
      </c>
      <c r="D183" s="76" t="s">
        <v>156</v>
      </c>
      <c r="E183" s="21" t="s">
        <v>34</v>
      </c>
      <c r="F183" s="179">
        <v>42.77</v>
      </c>
      <c r="G183" s="40">
        <v>1.39</v>
      </c>
      <c r="H183" s="40">
        <f t="shared" si="21"/>
        <v>1.79</v>
      </c>
      <c r="I183" s="20">
        <f>F183*H183</f>
        <v>76.56</v>
      </c>
      <c r="J183" s="124">
        <f>I183/$I$838</f>
        <v>1.2999999999999999E-4</v>
      </c>
      <c r="K183" s="133"/>
      <c r="L183" s="92"/>
      <c r="M183" s="136"/>
      <c r="N183" s="136"/>
      <c r="O183" s="136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</row>
    <row r="184" spans="1:45" s="32" customFormat="1" ht="25.5" x14ac:dyDescent="0.2">
      <c r="A184" s="30"/>
      <c r="B184" s="22">
        <v>88494</v>
      </c>
      <c r="C184" s="218" t="s">
        <v>655</v>
      </c>
      <c r="D184" s="76" t="s">
        <v>158</v>
      </c>
      <c r="E184" s="21" t="s">
        <v>34</v>
      </c>
      <c r="F184" s="179">
        <v>42.77</v>
      </c>
      <c r="G184" s="40">
        <v>10.24</v>
      </c>
      <c r="H184" s="40">
        <f t="shared" si="21"/>
        <v>13.21</v>
      </c>
      <c r="I184" s="20">
        <f>F184*H184</f>
        <v>564.99</v>
      </c>
      <c r="J184" s="124">
        <f>I184/$I$838</f>
        <v>9.3999999999999997E-4</v>
      </c>
      <c r="K184" s="133"/>
      <c r="L184" s="92"/>
      <c r="M184" s="136"/>
      <c r="N184" s="136"/>
      <c r="O184" s="136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</row>
    <row r="185" spans="1:45" s="32" customFormat="1" ht="25.5" x14ac:dyDescent="0.2">
      <c r="A185" s="30"/>
      <c r="B185" s="22">
        <v>88488</v>
      </c>
      <c r="C185" s="218" t="s">
        <v>656</v>
      </c>
      <c r="D185" s="13" t="s">
        <v>157</v>
      </c>
      <c r="E185" s="21" t="s">
        <v>34</v>
      </c>
      <c r="F185" s="179">
        <v>42.77</v>
      </c>
      <c r="G185" s="40">
        <v>8.32</v>
      </c>
      <c r="H185" s="40">
        <f t="shared" si="21"/>
        <v>10.73</v>
      </c>
      <c r="I185" s="20">
        <f>F185*H185</f>
        <v>458.92</v>
      </c>
      <c r="J185" s="124">
        <f>I185/$I$838</f>
        <v>7.6999999999999996E-4</v>
      </c>
      <c r="K185" s="133"/>
      <c r="L185" s="92"/>
      <c r="M185" s="136"/>
      <c r="N185" s="136"/>
      <c r="O185" s="136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</row>
    <row r="186" spans="1:45" s="32" customFormat="1" x14ac:dyDescent="0.2">
      <c r="A186" s="30"/>
      <c r="B186" s="22"/>
      <c r="C186" s="226" t="s">
        <v>368</v>
      </c>
      <c r="D186" s="86" t="s">
        <v>153</v>
      </c>
      <c r="E186" s="21"/>
      <c r="F186" s="179"/>
      <c r="G186" s="40"/>
      <c r="H186" s="40"/>
      <c r="I186" s="20"/>
      <c r="J186" s="124"/>
      <c r="K186" s="133"/>
      <c r="L186" s="92"/>
      <c r="M186" s="136"/>
      <c r="N186" s="136"/>
      <c r="O186" s="136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</row>
    <row r="187" spans="1:45" s="32" customFormat="1" ht="25.5" x14ac:dyDescent="0.2">
      <c r="A187" s="30"/>
      <c r="B187" s="22">
        <v>98689</v>
      </c>
      <c r="C187" s="218" t="s">
        <v>657</v>
      </c>
      <c r="D187" s="76" t="s">
        <v>159</v>
      </c>
      <c r="E187" s="21" t="s">
        <v>37</v>
      </c>
      <c r="F187" s="179">
        <v>6.04</v>
      </c>
      <c r="G187" s="40">
        <v>52.28</v>
      </c>
      <c r="H187" s="40">
        <f t="shared" si="21"/>
        <v>67.47</v>
      </c>
      <c r="I187" s="20">
        <f>F187*H187</f>
        <v>407.52</v>
      </c>
      <c r="J187" s="124">
        <f>I187/$I$838</f>
        <v>6.8000000000000005E-4</v>
      </c>
      <c r="K187" s="133"/>
      <c r="L187" s="92"/>
      <c r="M187" s="136"/>
      <c r="N187" s="136"/>
      <c r="O187" s="136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</row>
    <row r="188" spans="1:45" s="32" customFormat="1" ht="89.25" x14ac:dyDescent="0.2">
      <c r="A188" s="30"/>
      <c r="B188" s="22" t="s">
        <v>1252</v>
      </c>
      <c r="C188" s="218" t="s">
        <v>658</v>
      </c>
      <c r="D188" s="13" t="s">
        <v>1255</v>
      </c>
      <c r="E188" s="21" t="s">
        <v>35</v>
      </c>
      <c r="F188" s="179">
        <v>1</v>
      </c>
      <c r="G188" s="40">
        <v>567.20000000000005</v>
      </c>
      <c r="H188" s="40">
        <f t="shared" si="21"/>
        <v>732.08</v>
      </c>
      <c r="I188" s="20">
        <f>F188*H188</f>
        <v>732.08</v>
      </c>
      <c r="J188" s="124">
        <f>I188/$I$838</f>
        <v>1.2199999999999999E-3</v>
      </c>
      <c r="K188" s="133"/>
      <c r="L188" s="92"/>
      <c r="M188" s="136"/>
      <c r="N188" s="136"/>
      <c r="O188" s="136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</row>
    <row r="189" spans="1:45" s="32" customFormat="1" ht="38.25" x14ac:dyDescent="0.2">
      <c r="A189" s="30"/>
      <c r="B189" s="22">
        <v>91306</v>
      </c>
      <c r="C189" s="218" t="s">
        <v>659</v>
      </c>
      <c r="D189" s="13" t="s">
        <v>1260</v>
      </c>
      <c r="E189" s="21" t="s">
        <v>35</v>
      </c>
      <c r="F189" s="179">
        <f>F188</f>
        <v>1</v>
      </c>
      <c r="G189" s="40">
        <v>79.69</v>
      </c>
      <c r="H189" s="40">
        <f t="shared" si="21"/>
        <v>102.85</v>
      </c>
      <c r="I189" s="20">
        <f>F189*H189</f>
        <v>102.85</v>
      </c>
      <c r="J189" s="124">
        <f>I189/$I$838</f>
        <v>1.7000000000000001E-4</v>
      </c>
      <c r="K189" s="133"/>
      <c r="L189" s="92"/>
      <c r="M189" s="136"/>
      <c r="N189" s="136"/>
      <c r="O189" s="136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</row>
    <row r="190" spans="1:45" s="32" customFormat="1" ht="38.25" x14ac:dyDescent="0.2">
      <c r="A190" s="30"/>
      <c r="B190" s="22" t="s">
        <v>121</v>
      </c>
      <c r="C190" s="218" t="s">
        <v>660</v>
      </c>
      <c r="D190" s="13" t="s">
        <v>161</v>
      </c>
      <c r="E190" s="21" t="s">
        <v>35</v>
      </c>
      <c r="F190" s="179">
        <v>2</v>
      </c>
      <c r="G190" s="40">
        <v>1138.92</v>
      </c>
      <c r="H190" s="40">
        <f t="shared" si="21"/>
        <v>1470</v>
      </c>
      <c r="I190" s="20">
        <f>F190*H190</f>
        <v>2940</v>
      </c>
      <c r="J190" s="124">
        <f>I190/$I$838</f>
        <v>4.9199999999999999E-3</v>
      </c>
      <c r="K190" s="133"/>
      <c r="L190" s="92"/>
      <c r="M190" s="136"/>
      <c r="N190" s="136"/>
      <c r="O190" s="136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</row>
    <row r="191" spans="1:45" s="32" customFormat="1" ht="51" x14ac:dyDescent="0.2">
      <c r="A191" s="30"/>
      <c r="B191" s="22" t="s">
        <v>121</v>
      </c>
      <c r="C191" s="218" t="s">
        <v>1259</v>
      </c>
      <c r="D191" s="13" t="s">
        <v>160</v>
      </c>
      <c r="E191" s="21" t="s">
        <v>35</v>
      </c>
      <c r="F191" s="179">
        <v>2</v>
      </c>
      <c r="G191" s="40">
        <v>381.4</v>
      </c>
      <c r="H191" s="40">
        <f t="shared" si="21"/>
        <v>492.27</v>
      </c>
      <c r="I191" s="20">
        <f>F191*H191</f>
        <v>984.54</v>
      </c>
      <c r="J191" s="124">
        <f>I191/$I$838</f>
        <v>1.65E-3</v>
      </c>
      <c r="K191" s="133"/>
      <c r="L191" s="92"/>
      <c r="M191" s="136"/>
      <c r="N191" s="136"/>
      <c r="O191" s="136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</row>
    <row r="192" spans="1:45" s="32" customFormat="1" x14ac:dyDescent="0.2">
      <c r="A192" s="30"/>
      <c r="B192" s="83"/>
      <c r="C192" s="327" t="s">
        <v>185</v>
      </c>
      <c r="D192" s="316"/>
      <c r="E192" s="316"/>
      <c r="F192" s="316"/>
      <c r="G192" s="316"/>
      <c r="H192" s="317"/>
      <c r="I192" s="109">
        <f>SUM(I159:I191)</f>
        <v>13789.75</v>
      </c>
      <c r="J192" s="124"/>
      <c r="K192" s="133"/>
      <c r="L192" s="92"/>
      <c r="M192" s="136"/>
      <c r="N192" s="136"/>
      <c r="O192" s="136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</row>
    <row r="193" spans="1:45" s="32" customFormat="1" x14ac:dyDescent="0.2">
      <c r="A193" s="30"/>
      <c r="B193" s="22"/>
      <c r="C193" s="225" t="s">
        <v>76</v>
      </c>
      <c r="D193" s="75" t="s">
        <v>186</v>
      </c>
      <c r="E193" s="175"/>
      <c r="F193" s="180"/>
      <c r="G193" s="57"/>
      <c r="H193" s="57"/>
      <c r="I193" s="58"/>
      <c r="J193" s="124"/>
      <c r="K193" s="133"/>
      <c r="L193" s="92"/>
      <c r="M193" s="136"/>
      <c r="N193" s="136"/>
      <c r="O193" s="136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</row>
    <row r="194" spans="1:45" s="32" customFormat="1" x14ac:dyDescent="0.2">
      <c r="A194" s="30"/>
      <c r="B194" s="22"/>
      <c r="C194" s="226" t="s">
        <v>371</v>
      </c>
      <c r="D194" s="86" t="s">
        <v>144</v>
      </c>
      <c r="E194" s="21"/>
      <c r="F194" s="179"/>
      <c r="G194" s="40"/>
      <c r="H194" s="40"/>
      <c r="I194" s="20"/>
      <c r="J194" s="124"/>
      <c r="K194" s="133"/>
      <c r="L194" s="92"/>
      <c r="M194" s="136"/>
      <c r="N194" s="136"/>
      <c r="O194" s="136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</row>
    <row r="195" spans="1:45" s="32" customFormat="1" ht="25.5" x14ac:dyDescent="0.2">
      <c r="A195" s="30"/>
      <c r="B195" s="22">
        <v>97644</v>
      </c>
      <c r="C195" s="218" t="s">
        <v>661</v>
      </c>
      <c r="D195" s="13" t="s">
        <v>130</v>
      </c>
      <c r="E195" s="21" t="s">
        <v>34</v>
      </c>
      <c r="F195" s="179">
        <v>1.68</v>
      </c>
      <c r="G195" s="40">
        <v>4.1399999999999997</v>
      </c>
      <c r="H195" s="40">
        <f t="shared" ref="H195:H227" si="23">TRUNC((G195*(1+$I$6)),2)</f>
        <v>5.34</v>
      </c>
      <c r="I195" s="20">
        <f>F195*H195</f>
        <v>8.9700000000000006</v>
      </c>
      <c r="J195" s="124">
        <f t="shared" ref="J195:J202" si="24">I195/$I$838</f>
        <v>1.0000000000000001E-5</v>
      </c>
      <c r="K195" s="133"/>
      <c r="L195" s="92"/>
      <c r="M195" s="136"/>
      <c r="N195" s="136"/>
      <c r="O195" s="136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</row>
    <row r="196" spans="1:45" s="32" customFormat="1" ht="25.5" x14ac:dyDescent="0.2">
      <c r="A196" s="30"/>
      <c r="B196" s="22">
        <v>97645</v>
      </c>
      <c r="C196" s="218" t="s">
        <v>662</v>
      </c>
      <c r="D196" s="13" t="s">
        <v>131</v>
      </c>
      <c r="E196" s="21" t="s">
        <v>34</v>
      </c>
      <c r="F196" s="179">
        <f>(0.5*0.75)*2</f>
        <v>0.75</v>
      </c>
      <c r="G196" s="40">
        <v>15.18</v>
      </c>
      <c r="H196" s="40">
        <f t="shared" si="23"/>
        <v>19.59</v>
      </c>
      <c r="I196" s="20">
        <f>F196*H196</f>
        <v>14.69</v>
      </c>
      <c r="J196" s="124">
        <f t="shared" si="24"/>
        <v>2.0000000000000002E-5</v>
      </c>
      <c r="K196" s="133"/>
      <c r="L196" s="92"/>
      <c r="M196" s="136"/>
      <c r="N196" s="136"/>
      <c r="O196" s="136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</row>
    <row r="197" spans="1:45" s="32" customFormat="1" ht="25.5" x14ac:dyDescent="0.2">
      <c r="A197" s="30"/>
      <c r="B197" s="22">
        <v>97633</v>
      </c>
      <c r="C197" s="218" t="s">
        <v>663</v>
      </c>
      <c r="D197" s="13" t="s">
        <v>137</v>
      </c>
      <c r="E197" s="21" t="s">
        <v>34</v>
      </c>
      <c r="F197" s="179">
        <v>26.28</v>
      </c>
      <c r="G197" s="40">
        <v>10.1</v>
      </c>
      <c r="H197" s="40">
        <f t="shared" si="23"/>
        <v>13.03</v>
      </c>
      <c r="I197" s="20">
        <f>F197*H197</f>
        <v>342.43</v>
      </c>
      <c r="J197" s="124">
        <f t="shared" si="24"/>
        <v>5.6999999999999998E-4</v>
      </c>
      <c r="K197" s="133"/>
      <c r="L197" s="92"/>
      <c r="M197" s="136"/>
      <c r="N197" s="136"/>
      <c r="O197" s="136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</row>
    <row r="198" spans="1:45" s="32" customFormat="1" ht="25.5" x14ac:dyDescent="0.2">
      <c r="A198" s="30"/>
      <c r="B198" s="22">
        <v>97633</v>
      </c>
      <c r="C198" s="218" t="s">
        <v>664</v>
      </c>
      <c r="D198" s="13" t="s">
        <v>138</v>
      </c>
      <c r="E198" s="21" t="s">
        <v>34</v>
      </c>
      <c r="F198" s="179">
        <v>8</v>
      </c>
      <c r="G198" s="40">
        <v>10.1</v>
      </c>
      <c r="H198" s="40">
        <f t="shared" si="23"/>
        <v>13.03</v>
      </c>
      <c r="I198" s="20">
        <f>F198*H198</f>
        <v>104.24</v>
      </c>
      <c r="J198" s="124">
        <f t="shared" si="24"/>
        <v>1.7000000000000001E-4</v>
      </c>
      <c r="K198" s="133"/>
      <c r="L198" s="92"/>
      <c r="M198" s="136"/>
      <c r="N198" s="136"/>
      <c r="O198" s="136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</row>
    <row r="199" spans="1:45" s="32" customFormat="1" ht="25.5" x14ac:dyDescent="0.2">
      <c r="A199" s="30"/>
      <c r="B199" s="22">
        <v>97622</v>
      </c>
      <c r="C199" s="218" t="s">
        <v>665</v>
      </c>
      <c r="D199" s="13" t="s">
        <v>135</v>
      </c>
      <c r="E199" s="21" t="s">
        <v>36</v>
      </c>
      <c r="F199" s="179">
        <f>0.52+0.25</f>
        <v>0.77</v>
      </c>
      <c r="G199" s="40">
        <v>24.98</v>
      </c>
      <c r="H199" s="40">
        <f t="shared" si="23"/>
        <v>32.24</v>
      </c>
      <c r="I199" s="20">
        <f>F199*H199</f>
        <v>24.82</v>
      </c>
      <c r="J199" s="124">
        <f t="shared" si="24"/>
        <v>4.0000000000000003E-5</v>
      </c>
      <c r="K199" s="133"/>
      <c r="L199" s="92"/>
      <c r="M199" s="136"/>
      <c r="N199" s="136"/>
      <c r="O199" s="136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</row>
    <row r="200" spans="1:45" s="32" customFormat="1" x14ac:dyDescent="0.2">
      <c r="A200" s="30"/>
      <c r="B200" s="22">
        <v>97663</v>
      </c>
      <c r="C200" s="218" t="s">
        <v>666</v>
      </c>
      <c r="D200" s="13" t="s">
        <v>370</v>
      </c>
      <c r="E200" s="21" t="s">
        <v>35</v>
      </c>
      <c r="F200" s="179">
        <v>4</v>
      </c>
      <c r="G200" s="40">
        <v>5.53</v>
      </c>
      <c r="H200" s="40">
        <f t="shared" si="23"/>
        <v>7.13</v>
      </c>
      <c r="I200" s="20">
        <f>F200*H200</f>
        <v>28.52</v>
      </c>
      <c r="J200" s="124">
        <f t="shared" si="24"/>
        <v>5.0000000000000002E-5</v>
      </c>
      <c r="K200" s="133"/>
      <c r="L200" s="92"/>
      <c r="M200" s="136"/>
      <c r="N200" s="136"/>
      <c r="O200" s="136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</row>
    <row r="201" spans="1:45" s="32" customFormat="1" ht="25.5" x14ac:dyDescent="0.2">
      <c r="A201" s="30"/>
      <c r="B201" s="22">
        <v>97640</v>
      </c>
      <c r="C201" s="218" t="s">
        <v>667</v>
      </c>
      <c r="D201" s="13" t="s">
        <v>136</v>
      </c>
      <c r="E201" s="21" t="s">
        <v>34</v>
      </c>
      <c r="F201" s="179">
        <v>8.76</v>
      </c>
      <c r="G201" s="40">
        <v>0.75</v>
      </c>
      <c r="H201" s="40">
        <f t="shared" si="23"/>
        <v>0.96</v>
      </c>
      <c r="I201" s="20">
        <f>F201*H201</f>
        <v>8.41</v>
      </c>
      <c r="J201" s="124">
        <f t="shared" si="24"/>
        <v>1.0000000000000001E-5</v>
      </c>
      <c r="K201" s="133"/>
      <c r="L201" s="92"/>
      <c r="M201" s="136"/>
      <c r="N201" s="136"/>
      <c r="O201" s="136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</row>
    <row r="202" spans="1:45" s="32" customFormat="1" ht="25.5" x14ac:dyDescent="0.2">
      <c r="A202" s="30"/>
      <c r="B202" s="22" t="s">
        <v>1235</v>
      </c>
      <c r="C202" s="218" t="s">
        <v>668</v>
      </c>
      <c r="D202" s="12" t="s">
        <v>265</v>
      </c>
      <c r="E202" s="21" t="s">
        <v>34</v>
      </c>
      <c r="F202" s="21">
        <v>20.38</v>
      </c>
      <c r="G202" s="40">
        <v>0.95</v>
      </c>
      <c r="H202" s="40">
        <f t="shared" si="23"/>
        <v>1.22</v>
      </c>
      <c r="I202" s="20">
        <f>F202*H202</f>
        <v>24.86</v>
      </c>
      <c r="J202" s="124">
        <f t="shared" si="24"/>
        <v>4.0000000000000003E-5</v>
      </c>
      <c r="K202" s="133"/>
      <c r="L202" s="92"/>
      <c r="M202" s="136"/>
      <c r="N202" s="136"/>
      <c r="O202" s="136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</row>
    <row r="203" spans="1:45" s="32" customFormat="1" x14ac:dyDescent="0.2">
      <c r="A203" s="30"/>
      <c r="B203" s="22"/>
      <c r="C203" s="226" t="s">
        <v>372</v>
      </c>
      <c r="D203" s="84" t="s">
        <v>147</v>
      </c>
      <c r="E203" s="21"/>
      <c r="F203" s="181"/>
      <c r="G203" s="40"/>
      <c r="H203" s="40"/>
      <c r="I203" s="20"/>
      <c r="J203" s="124"/>
      <c r="K203" s="133"/>
      <c r="L203" s="92"/>
      <c r="M203" s="136"/>
      <c r="N203" s="136"/>
      <c r="O203" s="136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</row>
    <row r="204" spans="1:45" s="32" customFormat="1" ht="51" x14ac:dyDescent="0.2">
      <c r="A204" s="30"/>
      <c r="B204" s="22">
        <v>87620</v>
      </c>
      <c r="C204" s="218" t="s">
        <v>669</v>
      </c>
      <c r="D204" s="12" t="s">
        <v>163</v>
      </c>
      <c r="E204" s="21" t="s">
        <v>34</v>
      </c>
      <c r="F204" s="179">
        <v>8.76</v>
      </c>
      <c r="G204" s="40">
        <v>16.73</v>
      </c>
      <c r="H204" s="40">
        <f t="shared" si="23"/>
        <v>21.59</v>
      </c>
      <c r="I204" s="20">
        <f>F204*H204</f>
        <v>189.13</v>
      </c>
      <c r="J204" s="124">
        <f>I204/$I$838</f>
        <v>3.2000000000000003E-4</v>
      </c>
      <c r="K204" s="133"/>
      <c r="L204" s="92"/>
      <c r="M204" s="136"/>
      <c r="N204" s="136"/>
      <c r="O204" s="136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</row>
    <row r="205" spans="1:45" s="32" customFormat="1" ht="51" x14ac:dyDescent="0.2">
      <c r="A205" s="30"/>
      <c r="B205" s="22">
        <v>87251</v>
      </c>
      <c r="C205" s="218" t="s">
        <v>670</v>
      </c>
      <c r="D205" s="11" t="s">
        <v>1209</v>
      </c>
      <c r="E205" s="21" t="s">
        <v>34</v>
      </c>
      <c r="F205" s="179">
        <v>8.76</v>
      </c>
      <c r="G205" s="40">
        <v>22.44</v>
      </c>
      <c r="H205" s="40">
        <f t="shared" si="23"/>
        <v>28.96</v>
      </c>
      <c r="I205" s="20">
        <f>F205*H205</f>
        <v>253.69</v>
      </c>
      <c r="J205" s="124">
        <f>I205/$I$838</f>
        <v>4.2000000000000002E-4</v>
      </c>
      <c r="K205" s="133"/>
      <c r="L205" s="92"/>
      <c r="M205" s="136"/>
      <c r="N205" s="136"/>
      <c r="O205" s="136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</row>
    <row r="206" spans="1:45" s="32" customFormat="1" ht="25.5" x14ac:dyDescent="0.2">
      <c r="A206" s="30"/>
      <c r="B206" s="22">
        <v>98689</v>
      </c>
      <c r="C206" s="218" t="s">
        <v>671</v>
      </c>
      <c r="D206" s="76" t="s">
        <v>148</v>
      </c>
      <c r="E206" s="21" t="s">
        <v>37</v>
      </c>
      <c r="F206" s="179">
        <v>0.8</v>
      </c>
      <c r="G206" s="40">
        <v>52.28</v>
      </c>
      <c r="H206" s="40">
        <f t="shared" si="23"/>
        <v>67.47</v>
      </c>
      <c r="I206" s="20">
        <f>F206*H206</f>
        <v>53.98</v>
      </c>
      <c r="J206" s="124">
        <f>I206/$I$838</f>
        <v>9.0000000000000006E-5</v>
      </c>
      <c r="K206" s="133"/>
      <c r="L206" s="92"/>
      <c r="M206" s="136"/>
      <c r="N206" s="136"/>
      <c r="O206" s="136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</row>
    <row r="207" spans="1:45" s="32" customFormat="1" x14ac:dyDescent="0.2">
      <c r="A207" s="30"/>
      <c r="B207" s="22"/>
      <c r="C207" s="226" t="s">
        <v>373</v>
      </c>
      <c r="D207" s="84" t="s">
        <v>150</v>
      </c>
      <c r="E207" s="85"/>
      <c r="F207" s="181"/>
      <c r="G207" s="40"/>
      <c r="H207" s="40"/>
      <c r="I207" s="20"/>
      <c r="J207" s="124"/>
      <c r="K207" s="133"/>
      <c r="L207" s="92"/>
      <c r="M207" s="136"/>
      <c r="N207" s="136"/>
      <c r="O207" s="136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</row>
    <row r="208" spans="1:45" s="32" customFormat="1" ht="51" x14ac:dyDescent="0.2">
      <c r="A208" s="30"/>
      <c r="B208" s="22">
        <v>87508</v>
      </c>
      <c r="C208" s="218" t="s">
        <v>672</v>
      </c>
      <c r="D208" s="13" t="s">
        <v>1050</v>
      </c>
      <c r="E208" s="21" t="s">
        <v>34</v>
      </c>
      <c r="F208" s="179">
        <f>0.26*2</f>
        <v>0.52</v>
      </c>
      <c r="G208" s="40">
        <v>48.51</v>
      </c>
      <c r="H208" s="40">
        <f t="shared" si="23"/>
        <v>62.61</v>
      </c>
      <c r="I208" s="20">
        <f>F208*H208</f>
        <v>32.56</v>
      </c>
      <c r="J208" s="124">
        <f t="shared" ref="J208:J213" si="25">I208/$I$838</f>
        <v>5.0000000000000002E-5</v>
      </c>
      <c r="K208" s="133"/>
      <c r="L208" s="92"/>
      <c r="M208" s="136"/>
      <c r="N208" s="136"/>
      <c r="O208" s="136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</row>
    <row r="209" spans="1:45" s="32" customFormat="1" ht="38.25" x14ac:dyDescent="0.2">
      <c r="A209" s="30"/>
      <c r="B209" s="81">
        <v>93187</v>
      </c>
      <c r="C209" s="218" t="s">
        <v>673</v>
      </c>
      <c r="D209" s="12" t="s">
        <v>450</v>
      </c>
      <c r="E209" s="21" t="s">
        <v>37</v>
      </c>
      <c r="F209" s="179">
        <v>1.54</v>
      </c>
      <c r="G209" s="40">
        <v>56.96</v>
      </c>
      <c r="H209" s="40">
        <f t="shared" si="23"/>
        <v>73.510000000000005</v>
      </c>
      <c r="I209" s="20">
        <f>F209*H209</f>
        <v>113.21</v>
      </c>
      <c r="J209" s="124">
        <f t="shared" si="25"/>
        <v>1.9000000000000001E-4</v>
      </c>
      <c r="K209" s="133"/>
      <c r="L209" s="92"/>
      <c r="M209" s="136"/>
      <c r="N209" s="136"/>
      <c r="O209" s="136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</row>
    <row r="210" spans="1:45" s="32" customFormat="1" ht="38.25" x14ac:dyDescent="0.2">
      <c r="A210" s="30"/>
      <c r="B210" s="81">
        <v>93197</v>
      </c>
      <c r="C210" s="218" t="s">
        <v>674</v>
      </c>
      <c r="D210" s="12" t="s">
        <v>451</v>
      </c>
      <c r="E210" s="21" t="s">
        <v>37</v>
      </c>
      <c r="F210" s="179">
        <v>1.54</v>
      </c>
      <c r="G210" s="40">
        <v>53.86</v>
      </c>
      <c r="H210" s="40">
        <f t="shared" si="23"/>
        <v>69.510000000000005</v>
      </c>
      <c r="I210" s="20">
        <f>F210*H210</f>
        <v>107.05</v>
      </c>
      <c r="J210" s="124">
        <f t="shared" si="25"/>
        <v>1.8000000000000001E-4</v>
      </c>
      <c r="K210" s="133"/>
      <c r="L210" s="92"/>
      <c r="M210" s="136"/>
      <c r="N210" s="136"/>
      <c r="O210" s="136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</row>
    <row r="211" spans="1:45" s="32" customFormat="1" ht="25.5" x14ac:dyDescent="0.2">
      <c r="A211" s="30"/>
      <c r="B211" s="22">
        <v>87879</v>
      </c>
      <c r="C211" s="218" t="s">
        <v>675</v>
      </c>
      <c r="D211" s="12" t="s">
        <v>42</v>
      </c>
      <c r="E211" s="21" t="s">
        <v>34</v>
      </c>
      <c r="F211" s="179">
        <f>F208*2</f>
        <v>1.04</v>
      </c>
      <c r="G211" s="40">
        <v>1.98</v>
      </c>
      <c r="H211" s="40">
        <f t="shared" si="23"/>
        <v>2.5499999999999998</v>
      </c>
      <c r="I211" s="20">
        <f>F211*H211</f>
        <v>2.65</v>
      </c>
      <c r="J211" s="124">
        <f t="shared" si="25"/>
        <v>0</v>
      </c>
      <c r="K211" s="133"/>
      <c r="L211" s="92"/>
      <c r="M211" s="136"/>
      <c r="N211" s="136"/>
      <c r="O211" s="136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</row>
    <row r="212" spans="1:45" s="32" customFormat="1" ht="51" x14ac:dyDescent="0.2">
      <c r="A212" s="30"/>
      <c r="B212" s="22">
        <v>87529</v>
      </c>
      <c r="C212" s="218" t="s">
        <v>676</v>
      </c>
      <c r="D212" s="12" t="s">
        <v>154</v>
      </c>
      <c r="E212" s="19" t="s">
        <v>34</v>
      </c>
      <c r="F212" s="179">
        <f>F209*2</f>
        <v>3.08</v>
      </c>
      <c r="G212" s="40">
        <v>16.82</v>
      </c>
      <c r="H212" s="40">
        <f t="shared" si="23"/>
        <v>21.7</v>
      </c>
      <c r="I212" s="20">
        <f>F212*H212</f>
        <v>66.84</v>
      </c>
      <c r="J212" s="124">
        <f t="shared" si="25"/>
        <v>1.1E-4</v>
      </c>
      <c r="K212" s="133"/>
      <c r="L212" s="92"/>
      <c r="M212" s="136"/>
      <c r="N212" s="136"/>
      <c r="O212" s="136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</row>
    <row r="213" spans="1:45" s="32" customFormat="1" ht="51" x14ac:dyDescent="0.2">
      <c r="A213" s="30"/>
      <c r="B213" s="22">
        <v>87273</v>
      </c>
      <c r="C213" s="218" t="s">
        <v>677</v>
      </c>
      <c r="D213" s="12" t="s">
        <v>168</v>
      </c>
      <c r="E213" s="19" t="s">
        <v>34</v>
      </c>
      <c r="F213" s="179">
        <f>(14.46*3)-1.49-0.45-1.68</f>
        <v>39.76</v>
      </c>
      <c r="G213" s="40">
        <v>35.94</v>
      </c>
      <c r="H213" s="40">
        <f t="shared" si="23"/>
        <v>46.38</v>
      </c>
      <c r="I213" s="20">
        <f>F213*H213</f>
        <v>1844.07</v>
      </c>
      <c r="J213" s="124">
        <f t="shared" si="25"/>
        <v>3.0799999999999998E-3</v>
      </c>
      <c r="K213" s="133"/>
      <c r="L213" s="92"/>
      <c r="M213" s="136"/>
      <c r="N213" s="136"/>
      <c r="O213" s="136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</row>
    <row r="214" spans="1:45" s="32" customFormat="1" x14ac:dyDescent="0.2">
      <c r="A214" s="30"/>
      <c r="B214" s="22"/>
      <c r="C214" s="226" t="s">
        <v>374</v>
      </c>
      <c r="D214" s="84" t="s">
        <v>165</v>
      </c>
      <c r="E214" s="21"/>
      <c r="F214" s="179"/>
      <c r="G214" s="40"/>
      <c r="H214" s="40"/>
      <c r="I214" s="20"/>
      <c r="J214" s="124"/>
      <c r="K214" s="133"/>
      <c r="L214" s="92"/>
      <c r="M214" s="136"/>
      <c r="N214" s="136"/>
      <c r="O214" s="136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</row>
    <row r="215" spans="1:45" s="32" customFormat="1" ht="63.75" x14ac:dyDescent="0.2">
      <c r="A215" s="30"/>
      <c r="B215" s="22">
        <v>96485</v>
      </c>
      <c r="C215" s="218" t="s">
        <v>678</v>
      </c>
      <c r="D215" s="13" t="s">
        <v>226</v>
      </c>
      <c r="E215" s="21" t="s">
        <v>34</v>
      </c>
      <c r="F215" s="179">
        <v>8.76</v>
      </c>
      <c r="G215" s="40">
        <v>46.55</v>
      </c>
      <c r="H215" s="40">
        <f t="shared" si="23"/>
        <v>60.08</v>
      </c>
      <c r="I215" s="20">
        <f>F215*H215</f>
        <v>526.29999999999995</v>
      </c>
      <c r="J215" s="124">
        <f>I215/$I$838</f>
        <v>8.8000000000000003E-4</v>
      </c>
      <c r="K215" s="133"/>
      <c r="L215" s="92"/>
      <c r="M215" s="136"/>
      <c r="N215" s="136"/>
      <c r="O215" s="136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</row>
    <row r="216" spans="1:45" s="32" customFormat="1" ht="25.5" x14ac:dyDescent="0.2">
      <c r="A216" s="30"/>
      <c r="B216" s="22">
        <v>96121</v>
      </c>
      <c r="C216" s="218" t="s">
        <v>679</v>
      </c>
      <c r="D216" s="13" t="s">
        <v>227</v>
      </c>
      <c r="E216" s="21" t="s">
        <v>37</v>
      </c>
      <c r="F216" s="179">
        <v>14.46</v>
      </c>
      <c r="G216" s="40">
        <v>7.03</v>
      </c>
      <c r="H216" s="40">
        <f t="shared" si="23"/>
        <v>9.07</v>
      </c>
      <c r="I216" s="20">
        <f>F216*H216</f>
        <v>131.15</v>
      </c>
      <c r="J216" s="124">
        <f>I216/$I$838</f>
        <v>2.2000000000000001E-4</v>
      </c>
      <c r="K216" s="133"/>
      <c r="L216" s="92"/>
      <c r="M216" s="136"/>
      <c r="N216" s="136"/>
      <c r="O216" s="136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</row>
    <row r="217" spans="1:45" s="32" customFormat="1" x14ac:dyDescent="0.2">
      <c r="A217" s="30"/>
      <c r="B217" s="22"/>
      <c r="C217" s="226" t="s">
        <v>375</v>
      </c>
      <c r="D217" s="86" t="s">
        <v>153</v>
      </c>
      <c r="E217" s="21"/>
      <c r="F217" s="179"/>
      <c r="G217" s="40"/>
      <c r="H217" s="40"/>
      <c r="I217" s="20"/>
      <c r="J217" s="124"/>
      <c r="K217" s="133"/>
      <c r="L217" s="92"/>
      <c r="M217" s="136"/>
      <c r="N217" s="136"/>
      <c r="O217" s="136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</row>
    <row r="218" spans="1:45" s="32" customFormat="1" ht="89.25" x14ac:dyDescent="0.2">
      <c r="A218" s="30"/>
      <c r="B218" s="22" t="s">
        <v>1253</v>
      </c>
      <c r="C218" s="218" t="s">
        <v>680</v>
      </c>
      <c r="D218" s="13" t="s">
        <v>1256</v>
      </c>
      <c r="E218" s="21" t="s">
        <v>35</v>
      </c>
      <c r="F218" s="179">
        <v>1</v>
      </c>
      <c r="G218" s="40">
        <v>517.25</v>
      </c>
      <c r="H218" s="40">
        <f t="shared" si="23"/>
        <v>667.61</v>
      </c>
      <c r="I218" s="20">
        <f>F218*H218</f>
        <v>667.61</v>
      </c>
      <c r="J218" s="124">
        <f>I218/$I$838</f>
        <v>1.1199999999999999E-3</v>
      </c>
      <c r="K218" s="133"/>
      <c r="L218" s="92"/>
      <c r="M218" s="136"/>
      <c r="N218" s="136"/>
      <c r="O218" s="136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</row>
    <row r="219" spans="1:45" s="32" customFormat="1" ht="89.25" x14ac:dyDescent="0.2">
      <c r="A219" s="30"/>
      <c r="B219" s="22" t="s">
        <v>1254</v>
      </c>
      <c r="C219" s="218" t="s">
        <v>681</v>
      </c>
      <c r="D219" s="13" t="s">
        <v>1257</v>
      </c>
      <c r="E219" s="21" t="s">
        <v>35</v>
      </c>
      <c r="F219" s="179">
        <v>1</v>
      </c>
      <c r="G219" s="40">
        <v>501.5</v>
      </c>
      <c r="H219" s="40">
        <f t="shared" si="23"/>
        <v>647.28</v>
      </c>
      <c r="I219" s="20">
        <f>F219*H219</f>
        <v>647.28</v>
      </c>
      <c r="J219" s="124">
        <f>I219/$I$838</f>
        <v>1.08E-3</v>
      </c>
      <c r="K219" s="133"/>
      <c r="L219" s="92"/>
      <c r="M219" s="136"/>
      <c r="N219" s="136"/>
      <c r="O219" s="136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</row>
    <row r="220" spans="1:45" s="32" customFormat="1" ht="38.25" x14ac:dyDescent="0.2">
      <c r="A220" s="30"/>
      <c r="B220" s="22">
        <v>91306</v>
      </c>
      <c r="C220" s="218" t="s">
        <v>682</v>
      </c>
      <c r="D220" s="13" t="s">
        <v>1261</v>
      </c>
      <c r="E220" s="21" t="s">
        <v>35</v>
      </c>
      <c r="F220" s="179">
        <f>F218+F219</f>
        <v>2</v>
      </c>
      <c r="G220" s="40">
        <v>79.69</v>
      </c>
      <c r="H220" s="40">
        <f t="shared" ref="H220" si="26">TRUNC((G220*(1+$I$6)),2)</f>
        <v>102.85</v>
      </c>
      <c r="I220" s="20">
        <f>F220*H220</f>
        <v>205.7</v>
      </c>
      <c r="J220" s="124">
        <f>I220/$I$838</f>
        <v>3.4000000000000002E-4</v>
      </c>
      <c r="K220" s="133"/>
      <c r="L220" s="92"/>
      <c r="M220" s="136"/>
      <c r="N220" s="136"/>
      <c r="O220" s="136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</row>
    <row r="221" spans="1:45" s="32" customFormat="1" ht="38.25" x14ac:dyDescent="0.2">
      <c r="A221" s="30"/>
      <c r="B221" s="22" t="s">
        <v>121</v>
      </c>
      <c r="C221" s="218" t="s">
        <v>1262</v>
      </c>
      <c r="D221" s="13" t="s">
        <v>377</v>
      </c>
      <c r="E221" s="21" t="s">
        <v>35</v>
      </c>
      <c r="F221" s="179">
        <v>1</v>
      </c>
      <c r="G221" s="40">
        <v>239.12</v>
      </c>
      <c r="H221" s="40">
        <f t="shared" si="23"/>
        <v>308.63</v>
      </c>
      <c r="I221" s="20">
        <f>F221*H221</f>
        <v>308.63</v>
      </c>
      <c r="J221" s="124">
        <f>I221/$I$838</f>
        <v>5.1999999999999995E-4</v>
      </c>
      <c r="K221" s="133"/>
      <c r="L221" s="92"/>
      <c r="M221" s="136"/>
      <c r="N221" s="136"/>
      <c r="O221" s="136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</row>
    <row r="222" spans="1:45" s="32" customFormat="1" x14ac:dyDescent="0.2">
      <c r="A222" s="30"/>
      <c r="B222" s="22"/>
      <c r="C222" s="227" t="s">
        <v>376</v>
      </c>
      <c r="D222" s="84" t="s">
        <v>175</v>
      </c>
      <c r="E222" s="19"/>
      <c r="F222" s="179"/>
      <c r="G222" s="40"/>
      <c r="H222" s="40"/>
      <c r="I222" s="20"/>
      <c r="J222" s="124"/>
      <c r="K222" s="133"/>
      <c r="L222" s="92"/>
      <c r="M222" s="136"/>
      <c r="N222" s="136"/>
      <c r="O222" s="136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</row>
    <row r="223" spans="1:45" s="32" customFormat="1" ht="25.5" x14ac:dyDescent="0.2">
      <c r="A223" s="30"/>
      <c r="B223" s="22">
        <v>87508</v>
      </c>
      <c r="C223" s="218" t="s">
        <v>683</v>
      </c>
      <c r="D223" s="13" t="s">
        <v>381</v>
      </c>
      <c r="E223" s="21" t="s">
        <v>34</v>
      </c>
      <c r="F223" s="179">
        <v>1.5</v>
      </c>
      <c r="G223" s="40">
        <v>48.51</v>
      </c>
      <c r="H223" s="40">
        <f t="shared" si="23"/>
        <v>62.61</v>
      </c>
      <c r="I223" s="20">
        <f>F223*H223</f>
        <v>93.92</v>
      </c>
      <c r="J223" s="124">
        <f>I223/$I$838</f>
        <v>1.6000000000000001E-4</v>
      </c>
      <c r="K223" s="133"/>
      <c r="L223" s="92"/>
      <c r="M223" s="136"/>
      <c r="N223" s="136"/>
      <c r="O223" s="136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</row>
    <row r="224" spans="1:45" s="32" customFormat="1" ht="25.5" x14ac:dyDescent="0.2">
      <c r="A224" s="30"/>
      <c r="B224" s="22">
        <v>87879</v>
      </c>
      <c r="C224" s="218" t="s">
        <v>684</v>
      </c>
      <c r="D224" s="12" t="s">
        <v>378</v>
      </c>
      <c r="E224" s="21" t="s">
        <v>34</v>
      </c>
      <c r="F224" s="179">
        <v>3</v>
      </c>
      <c r="G224" s="40">
        <v>1.98</v>
      </c>
      <c r="H224" s="40">
        <f t="shared" si="23"/>
        <v>2.5499999999999998</v>
      </c>
      <c r="I224" s="20">
        <f>F224*H224</f>
        <v>7.65</v>
      </c>
      <c r="J224" s="124">
        <f>I224/$I$838</f>
        <v>1.0000000000000001E-5</v>
      </c>
      <c r="K224" s="133"/>
      <c r="L224" s="92"/>
      <c r="M224" s="136"/>
      <c r="N224" s="136"/>
      <c r="O224" s="136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</row>
    <row r="225" spans="1:45" s="32" customFormat="1" ht="51" x14ac:dyDescent="0.2">
      <c r="A225" s="30"/>
      <c r="B225" s="22">
        <v>87529</v>
      </c>
      <c r="C225" s="218" t="s">
        <v>685</v>
      </c>
      <c r="D225" s="12" t="s">
        <v>379</v>
      </c>
      <c r="E225" s="19" t="s">
        <v>34</v>
      </c>
      <c r="F225" s="179">
        <v>3</v>
      </c>
      <c r="G225" s="40">
        <v>16.82</v>
      </c>
      <c r="H225" s="40">
        <f t="shared" si="23"/>
        <v>21.7</v>
      </c>
      <c r="I225" s="20">
        <f>F225*H225</f>
        <v>65.099999999999994</v>
      </c>
      <c r="J225" s="124">
        <f>I225/$I$838</f>
        <v>1.1E-4</v>
      </c>
      <c r="K225" s="133"/>
      <c r="L225" s="92"/>
      <c r="M225" s="136"/>
      <c r="N225" s="136"/>
      <c r="O225" s="136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</row>
    <row r="226" spans="1:45" s="32" customFormat="1" ht="63.75" x14ac:dyDescent="0.2">
      <c r="A226" s="30"/>
      <c r="B226" s="22">
        <v>87273</v>
      </c>
      <c r="C226" s="218" t="s">
        <v>686</v>
      </c>
      <c r="D226" s="12" t="s">
        <v>380</v>
      </c>
      <c r="E226" s="19" t="s">
        <v>34</v>
      </c>
      <c r="F226" s="179">
        <v>3</v>
      </c>
      <c r="G226" s="40">
        <v>35.94</v>
      </c>
      <c r="H226" s="40">
        <f t="shared" si="23"/>
        <v>46.38</v>
      </c>
      <c r="I226" s="20">
        <f>F226*H226</f>
        <v>139.13999999999999</v>
      </c>
      <c r="J226" s="124">
        <f>I226/$I$838</f>
        <v>2.3000000000000001E-4</v>
      </c>
      <c r="K226" s="133"/>
      <c r="L226" s="92"/>
      <c r="M226" s="136"/>
      <c r="N226" s="136"/>
      <c r="O226" s="136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</row>
    <row r="227" spans="1:45" s="32" customFormat="1" ht="38.25" x14ac:dyDescent="0.2">
      <c r="A227" s="30"/>
      <c r="B227" s="22">
        <v>86914</v>
      </c>
      <c r="C227" s="218" t="s">
        <v>687</v>
      </c>
      <c r="D227" s="13" t="s">
        <v>382</v>
      </c>
      <c r="E227" s="21" t="s">
        <v>35</v>
      </c>
      <c r="F227" s="179">
        <v>3</v>
      </c>
      <c r="G227" s="40">
        <v>27.17</v>
      </c>
      <c r="H227" s="40">
        <f t="shared" si="23"/>
        <v>35.06</v>
      </c>
      <c r="I227" s="20">
        <f>F227*H227</f>
        <v>105.18</v>
      </c>
      <c r="J227" s="124">
        <f>I227/$I$838</f>
        <v>1.8000000000000001E-4</v>
      </c>
      <c r="K227" s="133"/>
      <c r="L227" s="92"/>
      <c r="M227" s="136"/>
      <c r="N227" s="136"/>
      <c r="O227" s="136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</row>
    <row r="228" spans="1:45" s="32" customFormat="1" x14ac:dyDescent="0.2">
      <c r="A228" s="30"/>
      <c r="B228" s="83"/>
      <c r="C228" s="327" t="s">
        <v>187</v>
      </c>
      <c r="D228" s="316"/>
      <c r="E228" s="316"/>
      <c r="F228" s="316"/>
      <c r="G228" s="316"/>
      <c r="H228" s="317"/>
      <c r="I228" s="109">
        <f>SUM(I194:I227)</f>
        <v>6117.78</v>
      </c>
      <c r="J228" s="124"/>
      <c r="K228" s="133"/>
      <c r="L228" s="92"/>
      <c r="M228" s="136"/>
      <c r="N228" s="136"/>
      <c r="O228" s="136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</row>
    <row r="229" spans="1:45" s="32" customFormat="1" x14ac:dyDescent="0.2">
      <c r="A229" s="30"/>
      <c r="B229" s="22"/>
      <c r="C229" s="225" t="s">
        <v>65</v>
      </c>
      <c r="D229" s="55" t="s">
        <v>189</v>
      </c>
      <c r="E229" s="56"/>
      <c r="F229" s="180"/>
      <c r="G229" s="57"/>
      <c r="H229" s="57"/>
      <c r="I229" s="58"/>
      <c r="J229" s="47"/>
      <c r="K229" s="133"/>
      <c r="L229" s="92"/>
      <c r="M229" s="136"/>
      <c r="N229" s="136"/>
      <c r="O229" s="136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</row>
    <row r="230" spans="1:45" s="32" customFormat="1" x14ac:dyDescent="0.2">
      <c r="A230" s="30"/>
      <c r="B230" s="22"/>
      <c r="C230" s="226" t="s">
        <v>390</v>
      </c>
      <c r="D230" s="86" t="s">
        <v>144</v>
      </c>
      <c r="E230" s="21"/>
      <c r="F230" s="179"/>
      <c r="G230" s="40"/>
      <c r="H230" s="40"/>
      <c r="I230" s="20"/>
      <c r="J230" s="124"/>
      <c r="K230" s="133"/>
      <c r="L230" s="92"/>
      <c r="M230" s="136"/>
      <c r="N230" s="136"/>
      <c r="O230" s="136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</row>
    <row r="231" spans="1:45" s="32" customFormat="1" ht="25.5" x14ac:dyDescent="0.2">
      <c r="A231" s="30"/>
      <c r="B231" s="22">
        <v>97644</v>
      </c>
      <c r="C231" s="218" t="s">
        <v>688</v>
      </c>
      <c r="D231" s="13" t="s">
        <v>130</v>
      </c>
      <c r="E231" s="21" t="s">
        <v>34</v>
      </c>
      <c r="F231" s="179">
        <v>3.36</v>
      </c>
      <c r="G231" s="40">
        <v>4.1399999999999997</v>
      </c>
      <c r="H231" s="40">
        <f t="shared" ref="H231:H276" si="27">TRUNC((G231*(1+$I$6)),2)</f>
        <v>5.34</v>
      </c>
      <c r="I231" s="20">
        <f>F231*H231</f>
        <v>17.940000000000001</v>
      </c>
      <c r="J231" s="124">
        <f t="shared" ref="J231:J238" si="28">I231/$I$838</f>
        <v>3.0000000000000001E-5</v>
      </c>
      <c r="K231" s="133"/>
      <c r="L231" s="92"/>
      <c r="M231" s="136"/>
      <c r="N231" s="136"/>
      <c r="O231" s="136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</row>
    <row r="232" spans="1:45" s="32" customFormat="1" ht="25.5" x14ac:dyDescent="0.2">
      <c r="A232" s="30"/>
      <c r="B232" s="22">
        <v>97645</v>
      </c>
      <c r="C232" s="218" t="s">
        <v>689</v>
      </c>
      <c r="D232" s="13" t="s">
        <v>131</v>
      </c>
      <c r="E232" s="21" t="s">
        <v>34</v>
      </c>
      <c r="F232" s="179">
        <v>8.33</v>
      </c>
      <c r="G232" s="40">
        <v>15.18</v>
      </c>
      <c r="H232" s="40">
        <f t="shared" si="27"/>
        <v>19.59</v>
      </c>
      <c r="I232" s="20">
        <f>F232*H232</f>
        <v>163.18</v>
      </c>
      <c r="J232" s="124">
        <f t="shared" si="28"/>
        <v>2.7E-4</v>
      </c>
      <c r="K232" s="133"/>
      <c r="L232" s="92"/>
      <c r="M232" s="136"/>
      <c r="N232" s="136"/>
      <c r="O232" s="136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</row>
    <row r="233" spans="1:45" s="32" customFormat="1" ht="25.5" x14ac:dyDescent="0.2">
      <c r="A233" s="30"/>
      <c r="B233" s="22">
        <v>97637</v>
      </c>
      <c r="C233" s="218" t="s">
        <v>690</v>
      </c>
      <c r="D233" s="13" t="s">
        <v>129</v>
      </c>
      <c r="E233" s="21" t="s">
        <v>34</v>
      </c>
      <c r="F233" s="179">
        <v>19.43</v>
      </c>
      <c r="G233" s="40">
        <v>1.19</v>
      </c>
      <c r="H233" s="40">
        <f t="shared" si="27"/>
        <v>1.53</v>
      </c>
      <c r="I233" s="20">
        <f>F233*H233</f>
        <v>29.73</v>
      </c>
      <c r="J233" s="124">
        <f t="shared" si="28"/>
        <v>5.0000000000000002E-5</v>
      </c>
      <c r="K233" s="133"/>
      <c r="L233" s="92"/>
      <c r="M233" s="136"/>
      <c r="N233" s="136"/>
      <c r="O233" s="136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</row>
    <row r="234" spans="1:45" s="32" customFormat="1" ht="25.5" x14ac:dyDescent="0.2">
      <c r="A234" s="30"/>
      <c r="B234" s="22">
        <v>97622</v>
      </c>
      <c r="C234" s="218" t="s">
        <v>691</v>
      </c>
      <c r="D234" s="13" t="s">
        <v>135</v>
      </c>
      <c r="E234" s="21" t="s">
        <v>36</v>
      </c>
      <c r="F234" s="179">
        <v>0.09</v>
      </c>
      <c r="G234" s="40">
        <v>24.98</v>
      </c>
      <c r="H234" s="40">
        <f t="shared" si="27"/>
        <v>32.24</v>
      </c>
      <c r="I234" s="20">
        <f>F234*H234</f>
        <v>2.9</v>
      </c>
      <c r="J234" s="124">
        <f t="shared" si="28"/>
        <v>0</v>
      </c>
      <c r="K234" s="133"/>
      <c r="L234" s="92"/>
      <c r="M234" s="136"/>
      <c r="N234" s="136"/>
      <c r="O234" s="136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</row>
    <row r="235" spans="1:45" s="32" customFormat="1" ht="38.25" x14ac:dyDescent="0.2">
      <c r="A235" s="30"/>
      <c r="B235" s="22">
        <v>97628</v>
      </c>
      <c r="C235" s="218" t="s">
        <v>692</v>
      </c>
      <c r="D235" s="13" t="s">
        <v>392</v>
      </c>
      <c r="E235" s="21" t="s">
        <v>36</v>
      </c>
      <c r="F235" s="179">
        <v>4.3</v>
      </c>
      <c r="G235" s="40">
        <v>123.49</v>
      </c>
      <c r="H235" s="40">
        <f t="shared" si="27"/>
        <v>159.38</v>
      </c>
      <c r="I235" s="20">
        <f>F235*H235</f>
        <v>685.33</v>
      </c>
      <c r="J235" s="124">
        <f t="shared" si="28"/>
        <v>1.15E-3</v>
      </c>
      <c r="K235" s="133"/>
      <c r="L235" s="92"/>
      <c r="M235" s="136"/>
      <c r="N235" s="136"/>
      <c r="O235" s="136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</row>
    <row r="236" spans="1:45" s="32" customFormat="1" ht="25.5" x14ac:dyDescent="0.2">
      <c r="A236" s="30"/>
      <c r="B236" s="22">
        <v>97640</v>
      </c>
      <c r="C236" s="218" t="s">
        <v>693</v>
      </c>
      <c r="D236" s="13" t="s">
        <v>136</v>
      </c>
      <c r="E236" s="21" t="s">
        <v>34</v>
      </c>
      <c r="F236" s="179">
        <v>53.79</v>
      </c>
      <c r="G236" s="40">
        <v>0.75</v>
      </c>
      <c r="H236" s="40">
        <f t="shared" si="27"/>
        <v>0.96</v>
      </c>
      <c r="I236" s="20">
        <f>F236*H236</f>
        <v>51.64</v>
      </c>
      <c r="J236" s="124">
        <f t="shared" si="28"/>
        <v>9.0000000000000006E-5</v>
      </c>
      <c r="K236" s="133"/>
      <c r="L236" s="92"/>
      <c r="M236" s="136"/>
      <c r="N236" s="136"/>
      <c r="O236" s="136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</row>
    <row r="237" spans="1:45" s="32" customFormat="1" ht="25.5" x14ac:dyDescent="0.2">
      <c r="A237" s="30"/>
      <c r="B237" s="22">
        <v>97631</v>
      </c>
      <c r="C237" s="218" t="s">
        <v>694</v>
      </c>
      <c r="D237" s="12" t="s">
        <v>393</v>
      </c>
      <c r="E237" s="21" t="s">
        <v>34</v>
      </c>
      <c r="F237" s="179">
        <v>51.92</v>
      </c>
      <c r="G237" s="40">
        <v>1.47</v>
      </c>
      <c r="H237" s="40">
        <f t="shared" si="27"/>
        <v>1.89</v>
      </c>
      <c r="I237" s="20">
        <f>F237*H237</f>
        <v>98.13</v>
      </c>
      <c r="J237" s="124">
        <f t="shared" si="28"/>
        <v>1.6000000000000001E-4</v>
      </c>
      <c r="K237" s="133"/>
      <c r="L237" s="92"/>
      <c r="M237" s="136"/>
      <c r="N237" s="136"/>
      <c r="O237" s="136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</row>
    <row r="238" spans="1:45" s="32" customFormat="1" ht="25.5" x14ac:dyDescent="0.2">
      <c r="A238" s="30"/>
      <c r="B238" s="22" t="s">
        <v>1235</v>
      </c>
      <c r="C238" s="218" t="s">
        <v>695</v>
      </c>
      <c r="D238" s="12" t="s">
        <v>265</v>
      </c>
      <c r="E238" s="21" t="s">
        <v>34</v>
      </c>
      <c r="F238" s="21">
        <f>F251+F252</f>
        <v>25.32</v>
      </c>
      <c r="G238" s="40">
        <v>0.95</v>
      </c>
      <c r="H238" s="40">
        <f t="shared" si="27"/>
        <v>1.22</v>
      </c>
      <c r="I238" s="20">
        <f>F238*H238</f>
        <v>30.89</v>
      </c>
      <c r="J238" s="124">
        <f t="shared" si="28"/>
        <v>5.0000000000000002E-5</v>
      </c>
      <c r="K238" s="133"/>
      <c r="L238" s="92"/>
      <c r="M238" s="136"/>
      <c r="N238" s="136"/>
      <c r="O238" s="136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</row>
    <row r="239" spans="1:45" s="32" customFormat="1" x14ac:dyDescent="0.2">
      <c r="A239" s="30"/>
      <c r="B239" s="22"/>
      <c r="C239" s="226" t="s">
        <v>396</v>
      </c>
      <c r="D239" s="84" t="s">
        <v>394</v>
      </c>
      <c r="E239" s="21"/>
      <c r="F239" s="181"/>
      <c r="G239" s="40"/>
      <c r="H239" s="40"/>
      <c r="I239" s="20"/>
      <c r="J239" s="124"/>
      <c r="K239" s="133"/>
      <c r="L239" s="92"/>
      <c r="M239" s="136"/>
      <c r="N239" s="136"/>
      <c r="O239" s="136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</row>
    <row r="240" spans="1:45" s="32" customFormat="1" ht="25.5" x14ac:dyDescent="0.2">
      <c r="A240" s="30"/>
      <c r="B240" s="22">
        <v>96624</v>
      </c>
      <c r="C240" s="218" t="s">
        <v>696</v>
      </c>
      <c r="D240" s="12" t="s">
        <v>38</v>
      </c>
      <c r="E240" s="21" t="s">
        <v>36</v>
      </c>
      <c r="F240" s="179">
        <v>2.69</v>
      </c>
      <c r="G240" s="40">
        <v>63.2</v>
      </c>
      <c r="H240" s="40">
        <f t="shared" si="27"/>
        <v>81.569999999999993</v>
      </c>
      <c r="I240" s="20">
        <f>F240*H240</f>
        <v>219.42</v>
      </c>
      <c r="J240" s="124">
        <f>I240/$I$838</f>
        <v>3.6999999999999999E-4</v>
      </c>
      <c r="K240" s="133"/>
      <c r="L240" s="92"/>
      <c r="M240" s="136"/>
      <c r="N240" s="136"/>
      <c r="O240" s="136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</row>
    <row r="241" spans="1:45" s="32" customFormat="1" ht="25.5" x14ac:dyDescent="0.2">
      <c r="A241" s="30"/>
      <c r="B241" s="22" t="s">
        <v>1226</v>
      </c>
      <c r="C241" s="218" t="s">
        <v>698</v>
      </c>
      <c r="D241" s="13" t="s">
        <v>63</v>
      </c>
      <c r="E241" s="21" t="s">
        <v>34</v>
      </c>
      <c r="F241" s="179">
        <v>53.79</v>
      </c>
      <c r="G241" s="40">
        <v>3.2</v>
      </c>
      <c r="H241" s="40">
        <f t="shared" si="27"/>
        <v>4.13</v>
      </c>
      <c r="I241" s="20">
        <f>F241*H241</f>
        <v>222.15</v>
      </c>
      <c r="J241" s="124">
        <f>I241/$I$838</f>
        <v>3.6999999999999999E-4</v>
      </c>
      <c r="K241" s="133"/>
      <c r="L241" s="92"/>
      <c r="M241" s="136"/>
      <c r="N241" s="136"/>
      <c r="O241" s="136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</row>
    <row r="242" spans="1:45" s="32" customFormat="1" ht="38.25" x14ac:dyDescent="0.2">
      <c r="A242" s="30"/>
      <c r="B242" s="22">
        <v>94991</v>
      </c>
      <c r="C242" s="218" t="s">
        <v>699</v>
      </c>
      <c r="D242" s="13" t="s">
        <v>404</v>
      </c>
      <c r="E242" s="21" t="s">
        <v>36</v>
      </c>
      <c r="F242" s="181">
        <v>2.69</v>
      </c>
      <c r="G242" s="40">
        <v>326.01</v>
      </c>
      <c r="H242" s="40">
        <f t="shared" si="27"/>
        <v>420.78</v>
      </c>
      <c r="I242" s="20">
        <f>F242*H242</f>
        <v>1131.9000000000001</v>
      </c>
      <c r="J242" s="124">
        <f>I242/$I$838</f>
        <v>1.89E-3</v>
      </c>
      <c r="K242" s="133"/>
      <c r="L242" s="92"/>
      <c r="M242" s="136"/>
      <c r="N242" s="136"/>
      <c r="O242" s="136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</row>
    <row r="243" spans="1:45" s="32" customFormat="1" ht="51" x14ac:dyDescent="0.2">
      <c r="A243" s="30"/>
      <c r="B243" s="22">
        <v>87251</v>
      </c>
      <c r="C243" s="218" t="s">
        <v>700</v>
      </c>
      <c r="D243" s="11" t="s">
        <v>1209</v>
      </c>
      <c r="E243" s="21" t="s">
        <v>34</v>
      </c>
      <c r="F243" s="179">
        <v>50.81</v>
      </c>
      <c r="G243" s="40">
        <v>22.44</v>
      </c>
      <c r="H243" s="40">
        <f t="shared" si="27"/>
        <v>28.96</v>
      </c>
      <c r="I243" s="20">
        <f>F243*H243</f>
        <v>1471.46</v>
      </c>
      <c r="J243" s="124">
        <f>I243/$I$838</f>
        <v>2.4599999999999999E-3</v>
      </c>
      <c r="K243" s="133"/>
      <c r="L243" s="92"/>
      <c r="M243" s="136"/>
      <c r="N243" s="136"/>
      <c r="O243" s="136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</row>
    <row r="244" spans="1:45" s="32" customFormat="1" ht="38.25" x14ac:dyDescent="0.2">
      <c r="A244" s="30"/>
      <c r="B244" s="22">
        <v>88649</v>
      </c>
      <c r="C244" s="218" t="s">
        <v>701</v>
      </c>
      <c r="D244" s="76" t="s">
        <v>395</v>
      </c>
      <c r="E244" s="21" t="s">
        <v>37</v>
      </c>
      <c r="F244" s="179">
        <v>13.38</v>
      </c>
      <c r="G244" s="40">
        <v>3.75</v>
      </c>
      <c r="H244" s="40">
        <f t="shared" si="27"/>
        <v>4.84</v>
      </c>
      <c r="I244" s="20">
        <f>F244*H244</f>
        <v>64.760000000000005</v>
      </c>
      <c r="J244" s="124">
        <f>I244/$I$838</f>
        <v>1.1E-4</v>
      </c>
      <c r="K244" s="133"/>
      <c r="L244" s="92"/>
      <c r="M244" s="136"/>
      <c r="N244" s="136"/>
      <c r="O244" s="136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</row>
    <row r="245" spans="1:45" s="32" customFormat="1" x14ac:dyDescent="0.2">
      <c r="A245" s="30"/>
      <c r="B245" s="22"/>
      <c r="C245" s="226" t="s">
        <v>398</v>
      </c>
      <c r="D245" s="84" t="s">
        <v>401</v>
      </c>
      <c r="E245" s="85"/>
      <c r="F245" s="181"/>
      <c r="G245" s="40"/>
      <c r="H245" s="40"/>
      <c r="I245" s="20"/>
      <c r="J245" s="124"/>
      <c r="K245" s="133"/>
      <c r="L245" s="92"/>
      <c r="M245" s="136"/>
      <c r="N245" s="136"/>
      <c r="O245" s="136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</row>
    <row r="246" spans="1:45" s="32" customFormat="1" ht="51" x14ac:dyDescent="0.2">
      <c r="A246" s="30"/>
      <c r="B246" s="22">
        <v>87508</v>
      </c>
      <c r="C246" s="218" t="s">
        <v>702</v>
      </c>
      <c r="D246" s="13" t="s">
        <v>1050</v>
      </c>
      <c r="E246" s="21" t="s">
        <v>34</v>
      </c>
      <c r="F246" s="179">
        <v>0.67</v>
      </c>
      <c r="G246" s="40">
        <v>48.51</v>
      </c>
      <c r="H246" s="40">
        <f t="shared" si="27"/>
        <v>62.61</v>
      </c>
      <c r="I246" s="20">
        <f>F246*H246</f>
        <v>41.95</v>
      </c>
      <c r="J246" s="124">
        <f>I246/$I$838</f>
        <v>6.9999999999999994E-5</v>
      </c>
      <c r="K246" s="133"/>
      <c r="L246" s="92"/>
      <c r="M246" s="136"/>
      <c r="N246" s="136"/>
      <c r="O246" s="136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</row>
    <row r="247" spans="1:45" s="32" customFormat="1" ht="25.5" x14ac:dyDescent="0.2">
      <c r="A247" s="30"/>
      <c r="B247" s="22">
        <v>87879</v>
      </c>
      <c r="C247" s="218" t="s">
        <v>703</v>
      </c>
      <c r="D247" s="12" t="s">
        <v>42</v>
      </c>
      <c r="E247" s="21" t="s">
        <v>34</v>
      </c>
      <c r="F247" s="179">
        <f>51.92+(F246*2)</f>
        <v>53.26</v>
      </c>
      <c r="G247" s="40">
        <v>1.98</v>
      </c>
      <c r="H247" s="40">
        <f t="shared" si="27"/>
        <v>2.5499999999999998</v>
      </c>
      <c r="I247" s="20">
        <f>F247*H247</f>
        <v>135.81</v>
      </c>
      <c r="J247" s="124">
        <f>I247/$I$838</f>
        <v>2.3000000000000001E-4</v>
      </c>
      <c r="K247" s="133"/>
      <c r="L247" s="92"/>
      <c r="M247" s="136"/>
      <c r="N247" s="136"/>
      <c r="O247" s="136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</row>
    <row r="248" spans="1:45" s="32" customFormat="1" ht="63.75" x14ac:dyDescent="0.2">
      <c r="A248" s="30"/>
      <c r="B248" s="22">
        <v>87529</v>
      </c>
      <c r="C248" s="218" t="s">
        <v>704</v>
      </c>
      <c r="D248" s="12" t="s">
        <v>403</v>
      </c>
      <c r="E248" s="19" t="s">
        <v>34</v>
      </c>
      <c r="F248" s="179">
        <f>51.92+(F246*2)</f>
        <v>53.26</v>
      </c>
      <c r="G248" s="40">
        <v>16.82</v>
      </c>
      <c r="H248" s="40">
        <f t="shared" si="27"/>
        <v>21.7</v>
      </c>
      <c r="I248" s="20">
        <f>F248*H248</f>
        <v>1155.74</v>
      </c>
      <c r="J248" s="124">
        <f>I248/$I$838</f>
        <v>1.9300000000000001E-3</v>
      </c>
      <c r="K248" s="133"/>
      <c r="L248" s="92"/>
      <c r="M248" s="136"/>
      <c r="N248" s="136"/>
      <c r="O248" s="136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</row>
    <row r="249" spans="1:45" s="32" customFormat="1" ht="38.25" x14ac:dyDescent="0.2">
      <c r="A249" s="30"/>
      <c r="B249" s="22">
        <v>96361</v>
      </c>
      <c r="C249" s="218" t="s">
        <v>697</v>
      </c>
      <c r="D249" s="12" t="s">
        <v>405</v>
      </c>
      <c r="E249" s="21" t="s">
        <v>34</v>
      </c>
      <c r="F249" s="179">
        <v>22.56</v>
      </c>
      <c r="G249" s="40">
        <v>74.400000000000006</v>
      </c>
      <c r="H249" s="40">
        <f t="shared" si="27"/>
        <v>96.02</v>
      </c>
      <c r="I249" s="20">
        <f>F249*H249</f>
        <v>2166.21</v>
      </c>
      <c r="J249" s="124">
        <f>I249/$I$838</f>
        <v>3.62E-3</v>
      </c>
      <c r="K249" s="133"/>
      <c r="L249" s="92"/>
      <c r="M249" s="136"/>
      <c r="N249" s="136"/>
      <c r="O249" s="136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</row>
    <row r="250" spans="1:45" s="32" customFormat="1" x14ac:dyDescent="0.2">
      <c r="A250" s="30"/>
      <c r="B250" s="22"/>
      <c r="C250" s="226" t="s">
        <v>399</v>
      </c>
      <c r="D250" s="84" t="s">
        <v>397</v>
      </c>
      <c r="E250" s="85"/>
      <c r="F250" s="181"/>
      <c r="G250" s="40"/>
      <c r="H250" s="40"/>
      <c r="I250" s="20"/>
      <c r="J250" s="124"/>
      <c r="K250" s="133"/>
      <c r="L250" s="92"/>
      <c r="M250" s="136"/>
      <c r="N250" s="136"/>
      <c r="O250" s="136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</row>
    <row r="251" spans="1:45" s="32" customFormat="1" ht="63.75" x14ac:dyDescent="0.2">
      <c r="A251" s="30"/>
      <c r="B251" s="22" t="s">
        <v>1224</v>
      </c>
      <c r="C251" s="218" t="s">
        <v>619</v>
      </c>
      <c r="D251" s="12" t="s">
        <v>1210</v>
      </c>
      <c r="E251" s="19" t="s">
        <v>34</v>
      </c>
      <c r="F251" s="21">
        <v>2.5299999999999998</v>
      </c>
      <c r="G251" s="40">
        <v>88.58</v>
      </c>
      <c r="H251" s="40">
        <f t="shared" si="27"/>
        <v>114.33</v>
      </c>
      <c r="I251" s="20">
        <f>F251*H251</f>
        <v>289.25</v>
      </c>
      <c r="J251" s="124">
        <f t="shared" ref="J251:J257" si="29">I251/$I$838</f>
        <v>4.8000000000000001E-4</v>
      </c>
      <c r="K251" s="133"/>
      <c r="L251" s="92"/>
      <c r="M251" s="136"/>
      <c r="N251" s="136"/>
      <c r="O251" s="136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</row>
    <row r="252" spans="1:45" s="32" customFormat="1" ht="63.75" x14ac:dyDescent="0.2">
      <c r="A252" s="30"/>
      <c r="B252" s="22" t="s">
        <v>1225</v>
      </c>
      <c r="C252" s="218" t="s">
        <v>705</v>
      </c>
      <c r="D252" s="12" t="s">
        <v>1211</v>
      </c>
      <c r="E252" s="19" t="s">
        <v>34</v>
      </c>
      <c r="F252" s="21">
        <v>22.79</v>
      </c>
      <c r="G252" s="40">
        <v>84.55</v>
      </c>
      <c r="H252" s="40">
        <f t="shared" si="27"/>
        <v>109.12</v>
      </c>
      <c r="I252" s="20">
        <f>F252*H252</f>
        <v>2486.84</v>
      </c>
      <c r="J252" s="124">
        <f t="shared" ref="J252" si="30">I252/$I$838</f>
        <v>4.1599999999999996E-3</v>
      </c>
      <c r="K252" s="133"/>
      <c r="L252" s="92"/>
      <c r="M252" s="136"/>
      <c r="N252" s="136"/>
      <c r="O252" s="136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</row>
    <row r="253" spans="1:45" s="32" customFormat="1" ht="25.5" x14ac:dyDescent="0.2">
      <c r="A253" s="30"/>
      <c r="B253" s="22">
        <v>88485</v>
      </c>
      <c r="C253" s="218" t="s">
        <v>706</v>
      </c>
      <c r="D253" s="76" t="s">
        <v>155</v>
      </c>
      <c r="E253" s="21" t="s">
        <v>34</v>
      </c>
      <c r="F253" s="179">
        <v>45.28</v>
      </c>
      <c r="G253" s="40">
        <v>1.18</v>
      </c>
      <c r="H253" s="40">
        <f t="shared" si="27"/>
        <v>1.52</v>
      </c>
      <c r="I253" s="20">
        <f>F253*H253</f>
        <v>68.83</v>
      </c>
      <c r="J253" s="124">
        <f t="shared" si="29"/>
        <v>1.2E-4</v>
      </c>
      <c r="K253" s="133"/>
      <c r="L253" s="92"/>
      <c r="M253" s="136"/>
      <c r="N253" s="136"/>
      <c r="O253" s="136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</row>
    <row r="254" spans="1:45" s="32" customFormat="1" ht="25.5" x14ac:dyDescent="0.2">
      <c r="A254" s="30"/>
      <c r="B254" s="22">
        <v>88497</v>
      </c>
      <c r="C254" s="218" t="s">
        <v>707</v>
      </c>
      <c r="D254" s="76" t="s">
        <v>102</v>
      </c>
      <c r="E254" s="21" t="s">
        <v>34</v>
      </c>
      <c r="F254" s="179">
        <v>45.28</v>
      </c>
      <c r="G254" s="40">
        <v>7.81</v>
      </c>
      <c r="H254" s="40">
        <f t="shared" si="27"/>
        <v>10.08</v>
      </c>
      <c r="I254" s="20">
        <f>F254*H254</f>
        <v>456.42</v>
      </c>
      <c r="J254" s="124">
        <f t="shared" si="29"/>
        <v>7.6000000000000004E-4</v>
      </c>
      <c r="K254" s="133"/>
      <c r="L254" s="92"/>
      <c r="M254" s="136"/>
      <c r="N254" s="136"/>
      <c r="O254" s="136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</row>
    <row r="255" spans="1:45" s="32" customFormat="1" ht="25.5" x14ac:dyDescent="0.2">
      <c r="A255" s="30"/>
      <c r="B255" s="22">
        <v>88489</v>
      </c>
      <c r="C255" s="218" t="s">
        <v>708</v>
      </c>
      <c r="D255" s="13" t="s">
        <v>43</v>
      </c>
      <c r="E255" s="21" t="s">
        <v>34</v>
      </c>
      <c r="F255" s="179">
        <v>45.28</v>
      </c>
      <c r="G255" s="40">
        <v>7.37</v>
      </c>
      <c r="H255" s="40">
        <f t="shared" si="27"/>
        <v>9.51</v>
      </c>
      <c r="I255" s="20">
        <f>F255*H255</f>
        <v>430.61</v>
      </c>
      <c r="J255" s="124">
        <f t="shared" si="29"/>
        <v>7.2000000000000005E-4</v>
      </c>
      <c r="K255" s="133"/>
      <c r="L255" s="92"/>
      <c r="M255" s="136"/>
      <c r="N255" s="136"/>
      <c r="O255" s="136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</row>
    <row r="256" spans="1:45" s="32" customFormat="1" ht="38.25" x14ac:dyDescent="0.2">
      <c r="A256" s="30"/>
      <c r="B256" s="22" t="s">
        <v>1231</v>
      </c>
      <c r="C256" s="218" t="s">
        <v>709</v>
      </c>
      <c r="D256" s="12" t="s">
        <v>569</v>
      </c>
      <c r="E256" s="21" t="s">
        <v>37</v>
      </c>
      <c r="F256" s="179">
        <v>15.92</v>
      </c>
      <c r="G256" s="40">
        <v>3.29</v>
      </c>
      <c r="H256" s="40">
        <f t="shared" si="27"/>
        <v>4.24</v>
      </c>
      <c r="I256" s="20">
        <f>F256*H256</f>
        <v>67.5</v>
      </c>
      <c r="J256" s="124">
        <f t="shared" si="29"/>
        <v>1.1E-4</v>
      </c>
      <c r="K256" s="133"/>
      <c r="L256" s="92"/>
      <c r="M256" s="136"/>
      <c r="N256" s="136"/>
      <c r="O256" s="136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</row>
    <row r="257" spans="1:45" s="32" customFormat="1" ht="38.25" x14ac:dyDescent="0.2">
      <c r="A257" s="30"/>
      <c r="B257" s="22">
        <v>102219</v>
      </c>
      <c r="C257" s="218" t="s">
        <v>1215</v>
      </c>
      <c r="D257" s="12" t="s">
        <v>1167</v>
      </c>
      <c r="E257" s="21" t="s">
        <v>34</v>
      </c>
      <c r="F257" s="179">
        <f>F256*0.1</f>
        <v>1.59</v>
      </c>
      <c r="G257" s="40">
        <v>7.68</v>
      </c>
      <c r="H257" s="40">
        <f t="shared" si="27"/>
        <v>9.91</v>
      </c>
      <c r="I257" s="20">
        <f>F257*H257</f>
        <v>15.76</v>
      </c>
      <c r="J257" s="124">
        <f t="shared" si="29"/>
        <v>3.0000000000000001E-5</v>
      </c>
      <c r="K257" s="133"/>
      <c r="L257" s="92"/>
      <c r="M257" s="136"/>
      <c r="N257" s="136"/>
      <c r="O257" s="136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</row>
    <row r="258" spans="1:45" s="32" customFormat="1" x14ac:dyDescent="0.2">
      <c r="A258" s="30"/>
      <c r="B258" s="22"/>
      <c r="C258" s="226" t="s">
        <v>402</v>
      </c>
      <c r="D258" s="84" t="s">
        <v>400</v>
      </c>
      <c r="E258" s="85"/>
      <c r="F258" s="181"/>
      <c r="G258" s="40"/>
      <c r="H258" s="40"/>
      <c r="I258" s="20"/>
      <c r="J258" s="124"/>
      <c r="K258" s="133"/>
      <c r="L258" s="92"/>
      <c r="M258" s="136"/>
      <c r="N258" s="136"/>
      <c r="O258" s="136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</row>
    <row r="259" spans="1:45" s="32" customFormat="1" ht="25.5" x14ac:dyDescent="0.2">
      <c r="A259" s="30"/>
      <c r="B259" s="22">
        <v>88485</v>
      </c>
      <c r="C259" s="218" t="s">
        <v>710</v>
      </c>
      <c r="D259" s="76" t="s">
        <v>155</v>
      </c>
      <c r="E259" s="21" t="s">
        <v>34</v>
      </c>
      <c r="F259" s="179">
        <v>39.31</v>
      </c>
      <c r="G259" s="40">
        <v>1.18</v>
      </c>
      <c r="H259" s="40">
        <f t="shared" si="27"/>
        <v>1.52</v>
      </c>
      <c r="I259" s="20">
        <f>F259*H259</f>
        <v>59.75</v>
      </c>
      <c r="J259" s="124">
        <f>I259/$I$838</f>
        <v>1E-4</v>
      </c>
      <c r="K259" s="133"/>
      <c r="L259" s="92"/>
      <c r="M259" s="136"/>
      <c r="N259" s="136"/>
      <c r="O259" s="136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</row>
    <row r="260" spans="1:45" s="32" customFormat="1" ht="25.5" x14ac:dyDescent="0.2">
      <c r="A260" s="30"/>
      <c r="B260" s="22">
        <v>88497</v>
      </c>
      <c r="C260" s="218" t="s">
        <v>712</v>
      </c>
      <c r="D260" s="76" t="s">
        <v>102</v>
      </c>
      <c r="E260" s="21" t="s">
        <v>34</v>
      </c>
      <c r="F260" s="179">
        <v>39.31</v>
      </c>
      <c r="G260" s="40">
        <v>7.81</v>
      </c>
      <c r="H260" s="40">
        <f t="shared" si="27"/>
        <v>10.08</v>
      </c>
      <c r="I260" s="20">
        <f>F260*H260</f>
        <v>396.24</v>
      </c>
      <c r="J260" s="124">
        <f>I260/$I$838</f>
        <v>6.6E-4</v>
      </c>
      <c r="K260" s="133"/>
      <c r="L260" s="92"/>
      <c r="M260" s="136"/>
      <c r="N260" s="136"/>
      <c r="O260" s="136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</row>
    <row r="261" spans="1:45" s="32" customFormat="1" ht="25.5" x14ac:dyDescent="0.2">
      <c r="A261" s="30"/>
      <c r="B261" s="22">
        <v>88489</v>
      </c>
      <c r="C261" s="218" t="s">
        <v>711</v>
      </c>
      <c r="D261" s="13" t="s">
        <v>43</v>
      </c>
      <c r="E261" s="21" t="s">
        <v>34</v>
      </c>
      <c r="F261" s="179">
        <v>39.31</v>
      </c>
      <c r="G261" s="40">
        <v>7.37</v>
      </c>
      <c r="H261" s="40">
        <f t="shared" si="27"/>
        <v>9.51</v>
      </c>
      <c r="I261" s="20">
        <f>F261*H261</f>
        <v>373.84</v>
      </c>
      <c r="J261" s="124">
        <f>I261/$I$838</f>
        <v>6.3000000000000003E-4</v>
      </c>
      <c r="K261" s="133"/>
      <c r="L261" s="92"/>
      <c r="M261" s="136"/>
      <c r="N261" s="136"/>
      <c r="O261" s="136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</row>
    <row r="262" spans="1:45" s="32" customFormat="1" ht="38.25" x14ac:dyDescent="0.2">
      <c r="A262" s="30"/>
      <c r="B262" s="81">
        <v>93187</v>
      </c>
      <c r="C262" s="218" t="s">
        <v>713</v>
      </c>
      <c r="D262" s="12" t="s">
        <v>450</v>
      </c>
      <c r="E262" s="21" t="s">
        <v>37</v>
      </c>
      <c r="F262" s="179">
        <v>1.94</v>
      </c>
      <c r="G262" s="40">
        <v>56.96</v>
      </c>
      <c r="H262" s="40">
        <f t="shared" si="27"/>
        <v>73.510000000000005</v>
      </c>
      <c r="I262" s="20">
        <f>F262*H262</f>
        <v>142.61000000000001</v>
      </c>
      <c r="J262" s="124">
        <f>I262/$I$838</f>
        <v>2.4000000000000001E-4</v>
      </c>
      <c r="K262" s="133"/>
      <c r="L262" s="92"/>
      <c r="M262" s="136"/>
      <c r="N262" s="136"/>
      <c r="O262" s="136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</row>
    <row r="263" spans="1:45" s="32" customFormat="1" ht="38.25" x14ac:dyDescent="0.2">
      <c r="A263" s="30"/>
      <c r="B263" s="81">
        <v>93197</v>
      </c>
      <c r="C263" s="218" t="s">
        <v>714</v>
      </c>
      <c r="D263" s="12" t="s">
        <v>451</v>
      </c>
      <c r="E263" s="21" t="s">
        <v>37</v>
      </c>
      <c r="F263" s="179">
        <v>1.94</v>
      </c>
      <c r="G263" s="40">
        <v>53.86</v>
      </c>
      <c r="H263" s="40">
        <f t="shared" si="27"/>
        <v>69.510000000000005</v>
      </c>
      <c r="I263" s="20">
        <f>F263*H263</f>
        <v>134.85</v>
      </c>
      <c r="J263" s="124">
        <f>I263/$I$838</f>
        <v>2.3000000000000001E-4</v>
      </c>
      <c r="K263" s="133"/>
      <c r="L263" s="92"/>
      <c r="M263" s="136"/>
      <c r="N263" s="136"/>
      <c r="O263" s="136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</row>
    <row r="264" spans="1:45" s="32" customFormat="1" x14ac:dyDescent="0.2">
      <c r="A264" s="30"/>
      <c r="B264" s="22"/>
      <c r="C264" s="226" t="s">
        <v>410</v>
      </c>
      <c r="D264" s="84" t="s">
        <v>165</v>
      </c>
      <c r="E264" s="38"/>
      <c r="F264" s="179"/>
      <c r="G264" s="40"/>
      <c r="H264" s="40"/>
      <c r="I264" s="20"/>
      <c r="J264" s="124"/>
      <c r="K264" s="133"/>
      <c r="L264" s="92"/>
      <c r="M264" s="136"/>
      <c r="N264" s="136"/>
      <c r="O264" s="136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</row>
    <row r="265" spans="1:45" s="32" customFormat="1" ht="63.75" x14ac:dyDescent="0.2">
      <c r="A265" s="30"/>
      <c r="B265" s="22">
        <v>96485</v>
      </c>
      <c r="C265" s="218" t="s">
        <v>715</v>
      </c>
      <c r="D265" s="13" t="s">
        <v>226</v>
      </c>
      <c r="E265" s="21" t="s">
        <v>34</v>
      </c>
      <c r="F265" s="179">
        <v>53.79</v>
      </c>
      <c r="G265" s="40">
        <v>46.55</v>
      </c>
      <c r="H265" s="40">
        <f t="shared" si="27"/>
        <v>60.08</v>
      </c>
      <c r="I265" s="20">
        <f>F265*H265</f>
        <v>3231.7</v>
      </c>
      <c r="J265" s="124">
        <f>I265/$I$838</f>
        <v>5.4000000000000003E-3</v>
      </c>
      <c r="K265" s="133"/>
      <c r="L265" s="92"/>
      <c r="M265" s="136"/>
      <c r="N265" s="136"/>
      <c r="O265" s="136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</row>
    <row r="266" spans="1:45" s="32" customFormat="1" ht="25.5" x14ac:dyDescent="0.2">
      <c r="A266" s="30"/>
      <c r="B266" s="22">
        <v>96121</v>
      </c>
      <c r="C266" s="218" t="s">
        <v>716</v>
      </c>
      <c r="D266" s="13" t="s">
        <v>227</v>
      </c>
      <c r="E266" s="21" t="s">
        <v>37</v>
      </c>
      <c r="F266" s="179">
        <v>29.92</v>
      </c>
      <c r="G266" s="40">
        <v>7.03</v>
      </c>
      <c r="H266" s="40">
        <f t="shared" si="27"/>
        <v>9.07</v>
      </c>
      <c r="I266" s="20">
        <f>F266*H266</f>
        <v>271.37</v>
      </c>
      <c r="J266" s="124">
        <f>I266/$I$838</f>
        <v>4.4999999999999999E-4</v>
      </c>
      <c r="K266" s="133"/>
      <c r="L266" s="92"/>
      <c r="M266" s="136"/>
      <c r="N266" s="136"/>
      <c r="O266" s="136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</row>
    <row r="267" spans="1:45" s="32" customFormat="1" x14ac:dyDescent="0.2">
      <c r="A267" s="30"/>
      <c r="B267" s="22"/>
      <c r="C267" s="226" t="s">
        <v>411</v>
      </c>
      <c r="D267" s="86" t="s">
        <v>406</v>
      </c>
      <c r="E267" s="21"/>
      <c r="F267" s="179"/>
      <c r="G267" s="40"/>
      <c r="H267" s="40"/>
      <c r="I267" s="20"/>
      <c r="J267" s="124"/>
      <c r="K267" s="133"/>
      <c r="L267" s="92"/>
      <c r="M267" s="136"/>
      <c r="N267" s="136"/>
      <c r="O267" s="136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</row>
    <row r="268" spans="1:45" s="32" customFormat="1" ht="25.5" x14ac:dyDescent="0.2">
      <c r="A268" s="30"/>
      <c r="B268" s="22">
        <v>98689</v>
      </c>
      <c r="C268" s="218" t="s">
        <v>717</v>
      </c>
      <c r="D268" s="76" t="s">
        <v>159</v>
      </c>
      <c r="E268" s="21" t="s">
        <v>37</v>
      </c>
      <c r="F268" s="179">
        <v>1.54</v>
      </c>
      <c r="G268" s="40">
        <v>52.28</v>
      </c>
      <c r="H268" s="40">
        <f t="shared" si="27"/>
        <v>67.47</v>
      </c>
      <c r="I268" s="20">
        <f>F268*H268</f>
        <v>103.9</v>
      </c>
      <c r="J268" s="124">
        <f>I268/$I$838</f>
        <v>1.7000000000000001E-4</v>
      </c>
      <c r="K268" s="133"/>
      <c r="L268" s="92"/>
      <c r="M268" s="136"/>
      <c r="N268" s="136"/>
      <c r="O268" s="136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</row>
    <row r="269" spans="1:45" s="32" customFormat="1" ht="89.25" x14ac:dyDescent="0.2">
      <c r="A269" s="30"/>
      <c r="B269" s="22" t="s">
        <v>1252</v>
      </c>
      <c r="C269" s="218" t="s">
        <v>718</v>
      </c>
      <c r="D269" s="13" t="s">
        <v>1255</v>
      </c>
      <c r="E269" s="21" t="s">
        <v>35</v>
      </c>
      <c r="F269" s="179">
        <v>1</v>
      </c>
      <c r="G269" s="40">
        <v>567.20000000000005</v>
      </c>
      <c r="H269" s="40">
        <f t="shared" si="27"/>
        <v>732.08</v>
      </c>
      <c r="I269" s="20">
        <f>F269*H269</f>
        <v>732.08</v>
      </c>
      <c r="J269" s="124">
        <f>I269/$I$838</f>
        <v>1.2199999999999999E-3</v>
      </c>
      <c r="K269" s="133"/>
      <c r="L269" s="92"/>
      <c r="M269" s="136"/>
      <c r="N269" s="136"/>
      <c r="O269" s="136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</row>
    <row r="270" spans="1:45" s="32" customFormat="1" ht="38.25" x14ac:dyDescent="0.2">
      <c r="A270" s="30"/>
      <c r="B270" s="22">
        <v>91306</v>
      </c>
      <c r="C270" s="218" t="s">
        <v>719</v>
      </c>
      <c r="D270" s="13" t="s">
        <v>1260</v>
      </c>
      <c r="E270" s="21" t="s">
        <v>35</v>
      </c>
      <c r="F270" s="179">
        <f>F269</f>
        <v>1</v>
      </c>
      <c r="G270" s="40">
        <v>79.69</v>
      </c>
      <c r="H270" s="40">
        <f t="shared" ref="H270" si="31">TRUNC((G270*(1+$I$6)),2)</f>
        <v>102.85</v>
      </c>
      <c r="I270" s="20">
        <f>F270*H270</f>
        <v>102.85</v>
      </c>
      <c r="J270" s="124">
        <f>I270/$I$838</f>
        <v>1.7000000000000001E-4</v>
      </c>
      <c r="K270" s="133"/>
      <c r="L270" s="92"/>
      <c r="M270" s="136"/>
      <c r="N270" s="136"/>
      <c r="O270" s="136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</row>
    <row r="271" spans="1:45" s="32" customFormat="1" ht="38.25" x14ac:dyDescent="0.2">
      <c r="A271" s="30"/>
      <c r="B271" s="22" t="s">
        <v>121</v>
      </c>
      <c r="C271" s="218" t="s">
        <v>1263</v>
      </c>
      <c r="D271" s="13" t="s">
        <v>408</v>
      </c>
      <c r="E271" s="21" t="s">
        <v>35</v>
      </c>
      <c r="F271" s="179">
        <v>2</v>
      </c>
      <c r="G271" s="40">
        <v>1076.04</v>
      </c>
      <c r="H271" s="40">
        <f t="shared" si="27"/>
        <v>1388.84</v>
      </c>
      <c r="I271" s="20">
        <f>F271*H271</f>
        <v>2777.68</v>
      </c>
      <c r="J271" s="124">
        <f>I271/$I$838</f>
        <v>4.64E-3</v>
      </c>
      <c r="K271" s="133"/>
      <c r="L271" s="92"/>
      <c r="M271" s="136"/>
      <c r="N271" s="136"/>
      <c r="O271" s="136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</row>
    <row r="272" spans="1:45" s="32" customFormat="1" x14ac:dyDescent="0.2">
      <c r="A272" s="30"/>
      <c r="B272" s="22"/>
      <c r="C272" s="226" t="s">
        <v>412</v>
      </c>
      <c r="D272" s="86" t="s">
        <v>407</v>
      </c>
      <c r="E272" s="21"/>
      <c r="F272" s="179"/>
      <c r="G272" s="40"/>
      <c r="H272" s="40"/>
      <c r="I272" s="20"/>
      <c r="J272" s="124"/>
      <c r="K272" s="133"/>
      <c r="L272" s="92"/>
      <c r="M272" s="136"/>
      <c r="N272" s="136"/>
      <c r="O272" s="136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</row>
    <row r="273" spans="1:45" s="32" customFormat="1" ht="25.5" x14ac:dyDescent="0.2">
      <c r="A273" s="30"/>
      <c r="B273" s="22">
        <v>98689</v>
      </c>
      <c r="C273" s="218" t="s">
        <v>720</v>
      </c>
      <c r="D273" s="76" t="s">
        <v>159</v>
      </c>
      <c r="E273" s="21" t="s">
        <v>37</v>
      </c>
      <c r="F273" s="179">
        <v>4.5999999999999996</v>
      </c>
      <c r="G273" s="40">
        <v>52.28</v>
      </c>
      <c r="H273" s="40">
        <f t="shared" si="27"/>
        <v>67.47</v>
      </c>
      <c r="I273" s="20">
        <f>F273*H273</f>
        <v>310.36</v>
      </c>
      <c r="J273" s="124">
        <f>I273/$I$838</f>
        <v>5.1999999999999995E-4</v>
      </c>
      <c r="K273" s="133"/>
      <c r="L273" s="92"/>
      <c r="M273" s="136"/>
      <c r="N273" s="136"/>
      <c r="O273" s="136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</row>
    <row r="274" spans="1:45" s="32" customFormat="1" ht="89.25" x14ac:dyDescent="0.2">
      <c r="A274" s="30"/>
      <c r="B274" s="22" t="s">
        <v>1253</v>
      </c>
      <c r="C274" s="218" t="s">
        <v>721</v>
      </c>
      <c r="D274" s="13" t="s">
        <v>1256</v>
      </c>
      <c r="E274" s="21" t="s">
        <v>35</v>
      </c>
      <c r="F274" s="179">
        <v>1</v>
      </c>
      <c r="G274" s="40">
        <v>517.25</v>
      </c>
      <c r="H274" s="40">
        <f t="shared" si="27"/>
        <v>667.61</v>
      </c>
      <c r="I274" s="20">
        <f>F274*H274</f>
        <v>667.61</v>
      </c>
      <c r="J274" s="124">
        <f>I274/$I$838</f>
        <v>1.1199999999999999E-3</v>
      </c>
      <c r="K274" s="133"/>
      <c r="L274" s="92"/>
      <c r="M274" s="136"/>
      <c r="N274" s="136"/>
      <c r="O274" s="136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</row>
    <row r="275" spans="1:45" s="32" customFormat="1" ht="38.25" x14ac:dyDescent="0.2">
      <c r="A275" s="30"/>
      <c r="B275" s="22">
        <v>91306</v>
      </c>
      <c r="C275" s="218" t="s">
        <v>722</v>
      </c>
      <c r="D275" s="13" t="s">
        <v>1260</v>
      </c>
      <c r="E275" s="21" t="s">
        <v>35</v>
      </c>
      <c r="F275" s="179">
        <f>F274</f>
        <v>1</v>
      </c>
      <c r="G275" s="40">
        <v>79.69</v>
      </c>
      <c r="H275" s="40">
        <f t="shared" si="27"/>
        <v>102.85</v>
      </c>
      <c r="I275" s="20">
        <f>F275*H275</f>
        <v>102.85</v>
      </c>
      <c r="J275" s="124">
        <f>I275/$I$838</f>
        <v>1.7000000000000001E-4</v>
      </c>
      <c r="K275" s="133"/>
      <c r="L275" s="92"/>
      <c r="M275" s="136"/>
      <c r="N275" s="136"/>
      <c r="O275" s="136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</row>
    <row r="276" spans="1:45" s="32" customFormat="1" ht="38.25" x14ac:dyDescent="0.2">
      <c r="A276" s="30"/>
      <c r="B276" s="22" t="s">
        <v>121</v>
      </c>
      <c r="C276" s="218" t="s">
        <v>1264</v>
      </c>
      <c r="D276" s="13" t="s">
        <v>409</v>
      </c>
      <c r="E276" s="21" t="s">
        <v>35</v>
      </c>
      <c r="F276" s="179">
        <v>1</v>
      </c>
      <c r="G276" s="40">
        <v>744.24</v>
      </c>
      <c r="H276" s="40">
        <f t="shared" si="27"/>
        <v>960.59</v>
      </c>
      <c r="I276" s="20">
        <f>F276*H276</f>
        <v>960.59</v>
      </c>
      <c r="J276" s="124">
        <f>I276/$I$838</f>
        <v>1.6100000000000001E-3</v>
      </c>
      <c r="K276" s="133"/>
      <c r="L276" s="92"/>
      <c r="M276" s="136"/>
      <c r="N276" s="136"/>
      <c r="O276" s="136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</row>
    <row r="277" spans="1:45" s="32" customFormat="1" x14ac:dyDescent="0.2">
      <c r="A277" s="30"/>
      <c r="B277" s="22"/>
      <c r="C277" s="247"/>
      <c r="D277" s="316" t="s">
        <v>188</v>
      </c>
      <c r="E277" s="316"/>
      <c r="F277" s="316"/>
      <c r="G277" s="316"/>
      <c r="H277" s="317"/>
      <c r="I277" s="109">
        <f>SUM(I230:I276)</f>
        <v>21872.63</v>
      </c>
      <c r="J277" s="124"/>
      <c r="K277" s="133"/>
      <c r="L277" s="92"/>
      <c r="M277" s="136"/>
      <c r="N277" s="136"/>
      <c r="O277" s="136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</row>
    <row r="278" spans="1:45" s="32" customFormat="1" x14ac:dyDescent="0.2">
      <c r="A278" s="30"/>
      <c r="B278" s="22"/>
      <c r="C278" s="225" t="s">
        <v>66</v>
      </c>
      <c r="D278" s="55" t="s">
        <v>190</v>
      </c>
      <c r="E278" s="56"/>
      <c r="F278" s="180"/>
      <c r="G278" s="57"/>
      <c r="H278" s="57"/>
      <c r="I278" s="58"/>
      <c r="J278" s="47"/>
      <c r="K278" s="133"/>
      <c r="L278" s="92"/>
      <c r="M278" s="136"/>
      <c r="N278" s="136"/>
      <c r="O278" s="136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</row>
    <row r="279" spans="1:45" s="32" customFormat="1" x14ac:dyDescent="0.2">
      <c r="A279" s="30"/>
      <c r="B279" s="22"/>
      <c r="C279" s="226" t="s">
        <v>383</v>
      </c>
      <c r="D279" s="86" t="s">
        <v>144</v>
      </c>
      <c r="E279" s="21"/>
      <c r="F279" s="179"/>
      <c r="G279" s="40"/>
      <c r="H279" s="40"/>
      <c r="I279" s="20"/>
      <c r="J279" s="47"/>
      <c r="K279" s="133"/>
      <c r="L279" s="92"/>
      <c r="M279" s="136"/>
      <c r="N279" s="136"/>
      <c r="O279" s="136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</row>
    <row r="280" spans="1:45" s="32" customFormat="1" ht="25.5" x14ac:dyDescent="0.2">
      <c r="A280" s="30"/>
      <c r="B280" s="22">
        <v>97633</v>
      </c>
      <c r="C280" s="218" t="s">
        <v>723</v>
      </c>
      <c r="D280" s="13" t="s">
        <v>138</v>
      </c>
      <c r="E280" s="21" t="s">
        <v>34</v>
      </c>
      <c r="F280" s="179">
        <v>30.65</v>
      </c>
      <c r="G280" s="40">
        <v>10.1</v>
      </c>
      <c r="H280" s="40">
        <f t="shared" ref="H280:H294" si="32">TRUNC((G280*(1+$I$6)),2)</f>
        <v>13.03</v>
      </c>
      <c r="I280" s="20">
        <f>F280*H280</f>
        <v>399.37</v>
      </c>
      <c r="J280" s="124">
        <f>I280/$I$838</f>
        <v>6.7000000000000002E-4</v>
      </c>
      <c r="K280" s="133"/>
      <c r="L280" s="92"/>
      <c r="M280" s="136"/>
      <c r="N280" s="136"/>
      <c r="O280" s="136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</row>
    <row r="281" spans="1:45" s="32" customFormat="1" ht="25.5" x14ac:dyDescent="0.2">
      <c r="A281" s="30"/>
      <c r="B281" s="22" t="s">
        <v>1235</v>
      </c>
      <c r="C281" s="218" t="s">
        <v>724</v>
      </c>
      <c r="D281" s="12" t="s">
        <v>265</v>
      </c>
      <c r="E281" s="21" t="s">
        <v>34</v>
      </c>
      <c r="F281" s="21">
        <f>F286+F287</f>
        <v>39.57</v>
      </c>
      <c r="G281" s="40">
        <v>0.95</v>
      </c>
      <c r="H281" s="40">
        <f t="shared" si="32"/>
        <v>1.22</v>
      </c>
      <c r="I281" s="20">
        <f>F281*H281</f>
        <v>48.28</v>
      </c>
      <c r="J281" s="124">
        <f>I281/$I$838</f>
        <v>8.0000000000000007E-5</v>
      </c>
      <c r="K281" s="133"/>
      <c r="L281" s="92"/>
      <c r="M281" s="136"/>
      <c r="N281" s="136"/>
      <c r="O281" s="136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</row>
    <row r="282" spans="1:45" s="32" customFormat="1" x14ac:dyDescent="0.2">
      <c r="A282" s="30"/>
      <c r="B282" s="22"/>
      <c r="C282" s="226" t="s">
        <v>384</v>
      </c>
      <c r="D282" s="84" t="s">
        <v>147</v>
      </c>
      <c r="E282" s="21"/>
      <c r="F282" s="181"/>
      <c r="G282" s="40"/>
      <c r="H282" s="40"/>
      <c r="I282" s="20"/>
      <c r="J282" s="124"/>
      <c r="K282" s="133"/>
      <c r="L282" s="92"/>
      <c r="M282" s="136"/>
      <c r="N282" s="136"/>
      <c r="O282" s="136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</row>
    <row r="283" spans="1:45" s="32" customFormat="1" ht="51" x14ac:dyDescent="0.2">
      <c r="A283" s="30"/>
      <c r="B283" s="22">
        <v>87620</v>
      </c>
      <c r="C283" s="218" t="s">
        <v>725</v>
      </c>
      <c r="D283" s="12" t="s">
        <v>163</v>
      </c>
      <c r="E283" s="21" t="s">
        <v>34</v>
      </c>
      <c r="F283" s="179">
        <v>32.119999999999997</v>
      </c>
      <c r="G283" s="40">
        <v>16.73</v>
      </c>
      <c r="H283" s="40">
        <f t="shared" si="32"/>
        <v>21.59</v>
      </c>
      <c r="I283" s="20">
        <f>F283*H283</f>
        <v>693.47</v>
      </c>
      <c r="J283" s="124">
        <f>I283/$I$838</f>
        <v>1.16E-3</v>
      </c>
      <c r="K283" s="133"/>
      <c r="L283" s="92"/>
      <c r="M283" s="136"/>
      <c r="N283" s="136"/>
      <c r="O283" s="136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</row>
    <row r="284" spans="1:45" s="32" customFormat="1" ht="51" x14ac:dyDescent="0.2">
      <c r="A284" s="30"/>
      <c r="B284" s="22">
        <v>87251</v>
      </c>
      <c r="C284" s="218" t="s">
        <v>726</v>
      </c>
      <c r="D284" s="11" t="s">
        <v>1209</v>
      </c>
      <c r="E284" s="21" t="s">
        <v>34</v>
      </c>
      <c r="F284" s="179">
        <v>35.07</v>
      </c>
      <c r="G284" s="40">
        <v>22.44</v>
      </c>
      <c r="H284" s="40">
        <f t="shared" si="32"/>
        <v>28.96</v>
      </c>
      <c r="I284" s="20">
        <f>F284*H284</f>
        <v>1015.63</v>
      </c>
      <c r="J284" s="124">
        <f>I284/$I$838</f>
        <v>1.6999999999999999E-3</v>
      </c>
      <c r="K284" s="133"/>
      <c r="L284" s="92"/>
      <c r="M284" s="136"/>
      <c r="N284" s="136"/>
      <c r="O284" s="136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</row>
    <row r="285" spans="1:45" s="32" customFormat="1" x14ac:dyDescent="0.2">
      <c r="A285" s="30"/>
      <c r="B285" s="22"/>
      <c r="C285" s="226" t="s">
        <v>385</v>
      </c>
      <c r="D285" s="84" t="s">
        <v>150</v>
      </c>
      <c r="E285" s="85"/>
      <c r="F285" s="181"/>
      <c r="G285" s="40"/>
      <c r="H285" s="40"/>
      <c r="I285" s="20"/>
      <c r="J285" s="124"/>
      <c r="K285" s="133"/>
      <c r="L285" s="92"/>
      <c r="M285" s="136"/>
      <c r="N285" s="136"/>
      <c r="O285" s="136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</row>
    <row r="286" spans="1:45" s="32" customFormat="1" ht="63.75" x14ac:dyDescent="0.2">
      <c r="A286" s="30"/>
      <c r="B286" s="22" t="s">
        <v>1224</v>
      </c>
      <c r="C286" s="218" t="s">
        <v>727</v>
      </c>
      <c r="D286" s="12" t="s">
        <v>1210</v>
      </c>
      <c r="E286" s="19" t="s">
        <v>34</v>
      </c>
      <c r="F286" s="21">
        <v>3.17</v>
      </c>
      <c r="G286" s="40">
        <v>88.58</v>
      </c>
      <c r="H286" s="40">
        <f t="shared" si="32"/>
        <v>114.33</v>
      </c>
      <c r="I286" s="20">
        <f>F286*H286</f>
        <v>362.43</v>
      </c>
      <c r="J286" s="124">
        <f>I286/$I$838</f>
        <v>6.0999999999999997E-4</v>
      </c>
      <c r="K286" s="133"/>
      <c r="L286" s="92"/>
      <c r="M286" s="136"/>
      <c r="N286" s="136"/>
      <c r="O286" s="136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</row>
    <row r="287" spans="1:45" s="32" customFormat="1" ht="63.75" x14ac:dyDescent="0.2">
      <c r="A287" s="30"/>
      <c r="B287" s="22" t="s">
        <v>1225</v>
      </c>
      <c r="C287" s="218" t="s">
        <v>728</v>
      </c>
      <c r="D287" s="12" t="s">
        <v>1211</v>
      </c>
      <c r="E287" s="19" t="s">
        <v>34</v>
      </c>
      <c r="F287" s="21">
        <v>36.4</v>
      </c>
      <c r="G287" s="40">
        <v>84.55</v>
      </c>
      <c r="H287" s="40">
        <f t="shared" si="32"/>
        <v>109.12</v>
      </c>
      <c r="I287" s="20">
        <f>F287*H287</f>
        <v>3971.97</v>
      </c>
      <c r="J287" s="124">
        <f>I287/$I$838</f>
        <v>6.6400000000000001E-3</v>
      </c>
      <c r="K287" s="133"/>
      <c r="L287" s="92"/>
      <c r="M287" s="136"/>
      <c r="N287" s="136"/>
      <c r="O287" s="136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</row>
    <row r="288" spans="1:45" s="32" customFormat="1" ht="25.5" x14ac:dyDescent="0.2">
      <c r="A288" s="30"/>
      <c r="B288" s="22">
        <v>88485</v>
      </c>
      <c r="C288" s="218" t="s">
        <v>729</v>
      </c>
      <c r="D288" s="76" t="s">
        <v>155</v>
      </c>
      <c r="E288" s="21" t="s">
        <v>34</v>
      </c>
      <c r="F288" s="179">
        <v>64.44</v>
      </c>
      <c r="G288" s="40">
        <v>1.18</v>
      </c>
      <c r="H288" s="40">
        <f t="shared" si="32"/>
        <v>1.52</v>
      </c>
      <c r="I288" s="20">
        <f>F288*H288</f>
        <v>97.95</v>
      </c>
      <c r="J288" s="124">
        <f>I288/$I$838</f>
        <v>1.6000000000000001E-4</v>
      </c>
      <c r="K288" s="133"/>
      <c r="L288" s="92"/>
      <c r="M288" s="136"/>
      <c r="N288" s="136"/>
      <c r="O288" s="136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</row>
    <row r="289" spans="1:45" s="32" customFormat="1" ht="25.5" x14ac:dyDescent="0.2">
      <c r="A289" s="30"/>
      <c r="B289" s="22">
        <v>88497</v>
      </c>
      <c r="C289" s="218" t="s">
        <v>730</v>
      </c>
      <c r="D289" s="76" t="s">
        <v>102</v>
      </c>
      <c r="E289" s="21" t="s">
        <v>34</v>
      </c>
      <c r="F289" s="179">
        <v>64.44</v>
      </c>
      <c r="G289" s="40">
        <v>7.81</v>
      </c>
      <c r="H289" s="40">
        <f t="shared" si="32"/>
        <v>10.08</v>
      </c>
      <c r="I289" s="20">
        <f>F289*H289</f>
        <v>649.55999999999995</v>
      </c>
      <c r="J289" s="124">
        <f>I289/$I$838</f>
        <v>1.09E-3</v>
      </c>
      <c r="K289" s="133"/>
      <c r="L289" s="92"/>
      <c r="M289" s="136"/>
      <c r="N289" s="136"/>
      <c r="O289" s="136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</row>
    <row r="290" spans="1:45" s="32" customFormat="1" ht="25.5" x14ac:dyDescent="0.2">
      <c r="A290" s="30"/>
      <c r="B290" s="22">
        <v>88489</v>
      </c>
      <c r="C290" s="218" t="s">
        <v>1214</v>
      </c>
      <c r="D290" s="13" t="s">
        <v>43</v>
      </c>
      <c r="E290" s="21" t="s">
        <v>34</v>
      </c>
      <c r="F290" s="179">
        <v>64.44</v>
      </c>
      <c r="G290" s="40">
        <v>7.37</v>
      </c>
      <c r="H290" s="40">
        <f t="shared" si="32"/>
        <v>9.51</v>
      </c>
      <c r="I290" s="20">
        <f>F290*H290</f>
        <v>612.82000000000005</v>
      </c>
      <c r="J290" s="124">
        <f>I290/$I$838</f>
        <v>1.0200000000000001E-3</v>
      </c>
      <c r="K290" s="133"/>
      <c r="L290" s="92"/>
      <c r="M290" s="136"/>
      <c r="N290" s="136"/>
      <c r="O290" s="136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</row>
    <row r="291" spans="1:45" s="32" customFormat="1" x14ac:dyDescent="0.2">
      <c r="A291" s="30"/>
      <c r="B291" s="22"/>
      <c r="C291" s="226" t="s">
        <v>386</v>
      </c>
      <c r="D291" s="84" t="s">
        <v>165</v>
      </c>
      <c r="E291" s="21"/>
      <c r="F291" s="179"/>
      <c r="G291" s="40"/>
      <c r="H291" s="40"/>
      <c r="I291" s="20"/>
      <c r="J291" s="124"/>
      <c r="K291" s="133"/>
      <c r="L291" s="92"/>
      <c r="M291" s="136"/>
      <c r="N291" s="136"/>
      <c r="O291" s="136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</row>
    <row r="292" spans="1:45" s="32" customFormat="1" ht="25.5" x14ac:dyDescent="0.2">
      <c r="A292" s="30"/>
      <c r="B292" s="22">
        <v>88484</v>
      </c>
      <c r="C292" s="218" t="s">
        <v>731</v>
      </c>
      <c r="D292" s="76" t="s">
        <v>387</v>
      </c>
      <c r="E292" s="21" t="s">
        <v>34</v>
      </c>
      <c r="F292" s="179">
        <v>33.21</v>
      </c>
      <c r="G292" s="40">
        <v>1.39</v>
      </c>
      <c r="H292" s="40">
        <f t="shared" si="32"/>
        <v>1.79</v>
      </c>
      <c r="I292" s="20">
        <f>F292*H292</f>
        <v>59.45</v>
      </c>
      <c r="J292" s="124">
        <f>I292/$I$838</f>
        <v>1E-4</v>
      </c>
      <c r="K292" s="133"/>
      <c r="L292" s="92"/>
      <c r="M292" s="136"/>
      <c r="N292" s="136"/>
      <c r="O292" s="136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</row>
    <row r="293" spans="1:45" s="32" customFormat="1" ht="25.5" x14ac:dyDescent="0.2">
      <c r="A293" s="30"/>
      <c r="B293" s="22">
        <v>88494</v>
      </c>
      <c r="C293" s="218" t="s">
        <v>732</v>
      </c>
      <c r="D293" s="76" t="s">
        <v>388</v>
      </c>
      <c r="E293" s="21" t="s">
        <v>34</v>
      </c>
      <c r="F293" s="179">
        <v>33.21</v>
      </c>
      <c r="G293" s="40">
        <v>10.24</v>
      </c>
      <c r="H293" s="40">
        <f t="shared" si="32"/>
        <v>13.21</v>
      </c>
      <c r="I293" s="20">
        <f>F293*H293</f>
        <v>438.7</v>
      </c>
      <c r="J293" s="124">
        <f>I293/$I$838</f>
        <v>7.2999999999999996E-4</v>
      </c>
      <c r="K293" s="133"/>
      <c r="L293" s="92"/>
      <c r="M293" s="136"/>
      <c r="N293" s="136"/>
      <c r="O293" s="136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</row>
    <row r="294" spans="1:45" s="32" customFormat="1" ht="38.25" x14ac:dyDescent="0.2">
      <c r="A294" s="30"/>
      <c r="B294" s="22">
        <v>88488</v>
      </c>
      <c r="C294" s="218" t="s">
        <v>733</v>
      </c>
      <c r="D294" s="13" t="s">
        <v>389</v>
      </c>
      <c r="E294" s="21" t="s">
        <v>34</v>
      </c>
      <c r="F294" s="179">
        <v>33.21</v>
      </c>
      <c r="G294" s="40">
        <v>8.32</v>
      </c>
      <c r="H294" s="40">
        <f t="shared" si="32"/>
        <v>10.73</v>
      </c>
      <c r="I294" s="20">
        <f>F294*H294</f>
        <v>356.34</v>
      </c>
      <c r="J294" s="124">
        <f>I294/$I$838</f>
        <v>5.9999999999999995E-4</v>
      </c>
      <c r="K294" s="133"/>
      <c r="L294" s="92"/>
      <c r="M294" s="136"/>
      <c r="N294" s="136"/>
      <c r="O294" s="136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</row>
    <row r="295" spans="1:45" s="32" customFormat="1" x14ac:dyDescent="0.2">
      <c r="A295" s="30"/>
      <c r="B295" s="22"/>
      <c r="C295" s="247"/>
      <c r="D295" s="316" t="s">
        <v>191</v>
      </c>
      <c r="E295" s="316"/>
      <c r="F295" s="316"/>
      <c r="G295" s="316"/>
      <c r="H295" s="317"/>
      <c r="I295" s="109">
        <f>SUM(I280:I294)</f>
        <v>8705.9699999999993</v>
      </c>
      <c r="J295" s="124"/>
      <c r="K295" s="133"/>
      <c r="L295" s="92"/>
      <c r="M295" s="136"/>
      <c r="N295" s="136"/>
      <c r="O295" s="136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</row>
    <row r="296" spans="1:45" s="32" customFormat="1" x14ac:dyDescent="0.2">
      <c r="A296" s="30"/>
      <c r="B296" s="22"/>
      <c r="C296" s="225" t="s">
        <v>192</v>
      </c>
      <c r="D296" s="75" t="s">
        <v>193</v>
      </c>
      <c r="E296" s="175"/>
      <c r="F296" s="180"/>
      <c r="G296" s="57"/>
      <c r="H296" s="57"/>
      <c r="I296" s="58"/>
      <c r="J296" s="124"/>
      <c r="K296" s="133"/>
      <c r="L296" s="92"/>
      <c r="M296" s="136"/>
      <c r="N296" s="136"/>
      <c r="O296" s="136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</row>
    <row r="297" spans="1:45" s="32" customFormat="1" x14ac:dyDescent="0.2">
      <c r="A297" s="30"/>
      <c r="B297" s="22"/>
      <c r="C297" s="226" t="s">
        <v>220</v>
      </c>
      <c r="D297" s="84" t="s">
        <v>147</v>
      </c>
      <c r="E297" s="21"/>
      <c r="F297" s="181"/>
      <c r="G297" s="40"/>
      <c r="H297" s="40"/>
      <c r="I297" s="20"/>
      <c r="J297" s="124"/>
      <c r="K297" s="133"/>
      <c r="L297" s="92"/>
      <c r="M297" s="136"/>
      <c r="N297" s="136"/>
      <c r="O297" s="136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</row>
    <row r="298" spans="1:45" s="32" customFormat="1" ht="38.25" x14ac:dyDescent="0.2">
      <c r="A298" s="30"/>
      <c r="B298" s="22">
        <v>94319</v>
      </c>
      <c r="C298" s="218" t="s">
        <v>734</v>
      </c>
      <c r="D298" s="217" t="s">
        <v>356</v>
      </c>
      <c r="E298" s="21" t="s">
        <v>36</v>
      </c>
      <c r="F298" s="179">
        <v>2.75</v>
      </c>
      <c r="G298" s="40">
        <v>21.94</v>
      </c>
      <c r="H298" s="40">
        <f t="shared" ref="H298:H319" si="33">TRUNC((G298*(1+$I$6)),2)</f>
        <v>28.31</v>
      </c>
      <c r="I298" s="20">
        <f>F298*H298</f>
        <v>77.849999999999994</v>
      </c>
      <c r="J298" s="124">
        <f t="shared" ref="J298:J304" si="34">I298/$I$838</f>
        <v>1.2999999999999999E-4</v>
      </c>
      <c r="K298" s="133"/>
      <c r="L298" s="92"/>
      <c r="M298" s="136"/>
      <c r="N298" s="136"/>
      <c r="O298" s="136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</row>
    <row r="299" spans="1:45" s="32" customFormat="1" ht="25.5" x14ac:dyDescent="0.2">
      <c r="A299" s="30"/>
      <c r="B299" s="22">
        <v>96624</v>
      </c>
      <c r="C299" s="218" t="s">
        <v>735</v>
      </c>
      <c r="D299" s="12" t="s">
        <v>38</v>
      </c>
      <c r="E299" s="21" t="s">
        <v>36</v>
      </c>
      <c r="F299" s="179">
        <v>0.92</v>
      </c>
      <c r="G299" s="40">
        <v>63.2</v>
      </c>
      <c r="H299" s="40">
        <f t="shared" si="33"/>
        <v>81.569999999999993</v>
      </c>
      <c r="I299" s="20">
        <f>F299*H299</f>
        <v>75.040000000000006</v>
      </c>
      <c r="J299" s="124">
        <f t="shared" si="34"/>
        <v>1.2999999999999999E-4</v>
      </c>
      <c r="K299" s="133"/>
      <c r="L299" s="92"/>
      <c r="M299" s="136"/>
      <c r="N299" s="136"/>
      <c r="O299" s="136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</row>
    <row r="300" spans="1:45" s="32" customFormat="1" ht="25.5" x14ac:dyDescent="0.2">
      <c r="A300" s="30"/>
      <c r="B300" s="22" t="s">
        <v>1226</v>
      </c>
      <c r="C300" s="218" t="s">
        <v>736</v>
      </c>
      <c r="D300" s="13" t="s">
        <v>63</v>
      </c>
      <c r="E300" s="21" t="s">
        <v>34</v>
      </c>
      <c r="F300" s="179">
        <v>18.36</v>
      </c>
      <c r="G300" s="40">
        <v>3.2</v>
      </c>
      <c r="H300" s="40">
        <f t="shared" si="33"/>
        <v>4.13</v>
      </c>
      <c r="I300" s="20">
        <f>F300*H300</f>
        <v>75.83</v>
      </c>
      <c r="J300" s="124">
        <f t="shared" si="34"/>
        <v>1.2999999999999999E-4</v>
      </c>
      <c r="K300" s="133"/>
      <c r="L300" s="92"/>
      <c r="M300" s="136"/>
      <c r="N300" s="136"/>
      <c r="O300" s="136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</row>
    <row r="301" spans="1:45" s="32" customFormat="1" ht="38.25" x14ac:dyDescent="0.2">
      <c r="A301" s="30"/>
      <c r="B301" s="22">
        <v>94991</v>
      </c>
      <c r="C301" s="218" t="s">
        <v>737</v>
      </c>
      <c r="D301" s="13" t="s">
        <v>222</v>
      </c>
      <c r="E301" s="21" t="s">
        <v>36</v>
      </c>
      <c r="F301" s="181">
        <v>0.92</v>
      </c>
      <c r="G301" s="40">
        <v>326.01</v>
      </c>
      <c r="H301" s="40">
        <f t="shared" si="33"/>
        <v>420.78</v>
      </c>
      <c r="I301" s="20">
        <f>F301*H301</f>
        <v>387.12</v>
      </c>
      <c r="J301" s="124">
        <f t="shared" si="34"/>
        <v>6.4999999999999997E-4</v>
      </c>
      <c r="K301" s="133"/>
      <c r="L301" s="92"/>
      <c r="M301" s="136"/>
      <c r="N301" s="136"/>
      <c r="O301" s="136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</row>
    <row r="302" spans="1:45" s="32" customFormat="1" ht="51" x14ac:dyDescent="0.2">
      <c r="A302" s="30"/>
      <c r="B302" s="22">
        <v>87251</v>
      </c>
      <c r="C302" s="218" t="s">
        <v>738</v>
      </c>
      <c r="D302" s="11" t="s">
        <v>1209</v>
      </c>
      <c r="E302" s="21" t="s">
        <v>34</v>
      </c>
      <c r="F302" s="179">
        <v>18.36</v>
      </c>
      <c r="G302" s="40">
        <v>22.44</v>
      </c>
      <c r="H302" s="40">
        <f t="shared" si="33"/>
        <v>28.96</v>
      </c>
      <c r="I302" s="20">
        <f>F302*H302</f>
        <v>531.71</v>
      </c>
      <c r="J302" s="124">
        <f t="shared" si="34"/>
        <v>8.8999999999999995E-4</v>
      </c>
      <c r="K302" s="133"/>
      <c r="L302" s="92"/>
      <c r="M302" s="136"/>
      <c r="N302" s="136"/>
      <c r="O302" s="136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</row>
    <row r="303" spans="1:45" s="32" customFormat="1" ht="38.25" x14ac:dyDescent="0.2">
      <c r="A303" s="30"/>
      <c r="B303" s="22">
        <v>88649</v>
      </c>
      <c r="C303" s="218" t="s">
        <v>739</v>
      </c>
      <c r="D303" s="76" t="s">
        <v>221</v>
      </c>
      <c r="E303" s="21" t="s">
        <v>37</v>
      </c>
      <c r="F303" s="179">
        <v>19.61</v>
      </c>
      <c r="G303" s="40">
        <v>3.75</v>
      </c>
      <c r="H303" s="40">
        <f t="shared" si="33"/>
        <v>4.84</v>
      </c>
      <c r="I303" s="20">
        <f>F303*H303</f>
        <v>94.91</v>
      </c>
      <c r="J303" s="124">
        <f t="shared" si="34"/>
        <v>1.6000000000000001E-4</v>
      </c>
      <c r="K303" s="133"/>
      <c r="L303" s="92"/>
      <c r="M303" s="136"/>
      <c r="N303" s="136"/>
      <c r="O303" s="136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</row>
    <row r="304" spans="1:45" s="32" customFormat="1" ht="25.5" x14ac:dyDescent="0.2">
      <c r="A304" s="30"/>
      <c r="B304" s="22">
        <v>98689</v>
      </c>
      <c r="C304" s="218" t="s">
        <v>740</v>
      </c>
      <c r="D304" s="76" t="s">
        <v>148</v>
      </c>
      <c r="E304" s="21" t="s">
        <v>37</v>
      </c>
      <c r="F304" s="179">
        <v>2.52</v>
      </c>
      <c r="G304" s="40">
        <v>52.28</v>
      </c>
      <c r="H304" s="40">
        <f t="shared" si="33"/>
        <v>67.47</v>
      </c>
      <c r="I304" s="20">
        <f>F304*H304</f>
        <v>170.02</v>
      </c>
      <c r="J304" s="124">
        <f t="shared" si="34"/>
        <v>2.7999999999999998E-4</v>
      </c>
      <c r="K304" s="133"/>
      <c r="L304" s="92"/>
      <c r="M304" s="136"/>
      <c r="N304" s="136"/>
      <c r="O304" s="136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</row>
    <row r="305" spans="1:45" s="32" customFormat="1" x14ac:dyDescent="0.2">
      <c r="A305" s="30"/>
      <c r="B305" s="22"/>
      <c r="C305" s="226" t="s">
        <v>223</v>
      </c>
      <c r="D305" s="84" t="s">
        <v>150</v>
      </c>
      <c r="E305" s="21"/>
      <c r="F305" s="179"/>
      <c r="G305" s="40"/>
      <c r="H305" s="40"/>
      <c r="I305" s="20"/>
      <c r="J305" s="124"/>
      <c r="K305" s="133"/>
      <c r="L305" s="92"/>
      <c r="M305" s="136"/>
      <c r="N305" s="136"/>
      <c r="O305" s="136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</row>
    <row r="306" spans="1:45" s="32" customFormat="1" ht="25.5" x14ac:dyDescent="0.2">
      <c r="A306" s="30"/>
      <c r="B306" s="22">
        <v>87879</v>
      </c>
      <c r="C306" s="218" t="s">
        <v>741</v>
      </c>
      <c r="D306" s="12" t="s">
        <v>42</v>
      </c>
      <c r="E306" s="21" t="s">
        <v>34</v>
      </c>
      <c r="F306" s="179">
        <v>55.49</v>
      </c>
      <c r="G306" s="40">
        <v>1.98</v>
      </c>
      <c r="H306" s="40">
        <f t="shared" si="33"/>
        <v>2.5499999999999998</v>
      </c>
      <c r="I306" s="20">
        <f>F306*H306</f>
        <v>141.5</v>
      </c>
      <c r="J306" s="124">
        <f t="shared" ref="J306:J311" si="35">I306/$I$838</f>
        <v>2.4000000000000001E-4</v>
      </c>
      <c r="K306" s="133"/>
      <c r="L306" s="92"/>
      <c r="M306" s="136"/>
      <c r="N306" s="136"/>
      <c r="O306" s="136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</row>
    <row r="307" spans="1:45" s="32" customFormat="1" ht="51" x14ac:dyDescent="0.2">
      <c r="A307" s="30"/>
      <c r="B307" s="22">
        <v>87529</v>
      </c>
      <c r="C307" s="218" t="s">
        <v>743</v>
      </c>
      <c r="D307" s="12" t="s">
        <v>154</v>
      </c>
      <c r="E307" s="19" t="s">
        <v>34</v>
      </c>
      <c r="F307" s="179">
        <v>55.49</v>
      </c>
      <c r="G307" s="40">
        <v>16.82</v>
      </c>
      <c r="H307" s="40">
        <f t="shared" si="33"/>
        <v>21.7</v>
      </c>
      <c r="I307" s="20">
        <f>F307*H307</f>
        <v>1204.1300000000001</v>
      </c>
      <c r="J307" s="124">
        <f t="shared" si="35"/>
        <v>2.0100000000000001E-3</v>
      </c>
      <c r="K307" s="133"/>
      <c r="L307" s="92"/>
      <c r="M307" s="136"/>
      <c r="N307" s="136"/>
      <c r="O307" s="136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</row>
    <row r="308" spans="1:45" s="32" customFormat="1" ht="25.5" x14ac:dyDescent="0.2">
      <c r="A308" s="30"/>
      <c r="B308" s="22">
        <v>88485</v>
      </c>
      <c r="C308" s="218" t="s">
        <v>744</v>
      </c>
      <c r="D308" s="76" t="s">
        <v>155</v>
      </c>
      <c r="E308" s="21" t="s">
        <v>34</v>
      </c>
      <c r="F308" s="179">
        <v>55.49</v>
      </c>
      <c r="G308" s="40">
        <v>1.18</v>
      </c>
      <c r="H308" s="40">
        <f t="shared" si="33"/>
        <v>1.52</v>
      </c>
      <c r="I308" s="20">
        <f>F308*H308</f>
        <v>84.34</v>
      </c>
      <c r="J308" s="124">
        <f t="shared" si="35"/>
        <v>1.3999999999999999E-4</v>
      </c>
      <c r="K308" s="133"/>
      <c r="L308" s="92"/>
      <c r="M308" s="136"/>
      <c r="N308" s="136"/>
      <c r="O308" s="136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</row>
    <row r="309" spans="1:45" s="32" customFormat="1" ht="25.5" x14ac:dyDescent="0.2">
      <c r="A309" s="30"/>
      <c r="B309" s="22">
        <v>88497</v>
      </c>
      <c r="C309" s="218" t="s">
        <v>745</v>
      </c>
      <c r="D309" s="76" t="s">
        <v>102</v>
      </c>
      <c r="E309" s="21" t="s">
        <v>34</v>
      </c>
      <c r="F309" s="179">
        <v>55.49</v>
      </c>
      <c r="G309" s="40">
        <v>7.81</v>
      </c>
      <c r="H309" s="40">
        <f t="shared" si="33"/>
        <v>10.08</v>
      </c>
      <c r="I309" s="20">
        <f>F309*H309</f>
        <v>559.34</v>
      </c>
      <c r="J309" s="124">
        <f t="shared" si="35"/>
        <v>9.3999999999999997E-4</v>
      </c>
      <c r="K309" s="133"/>
      <c r="L309" s="92"/>
      <c r="M309" s="136"/>
      <c r="N309" s="136"/>
      <c r="O309" s="136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</row>
    <row r="310" spans="1:45" s="32" customFormat="1" ht="25.5" x14ac:dyDescent="0.2">
      <c r="A310" s="30"/>
      <c r="B310" s="22">
        <v>88489</v>
      </c>
      <c r="C310" s="218" t="s">
        <v>746</v>
      </c>
      <c r="D310" s="13" t="s">
        <v>43</v>
      </c>
      <c r="E310" s="21" t="s">
        <v>34</v>
      </c>
      <c r="F310" s="179">
        <v>55.49</v>
      </c>
      <c r="G310" s="40">
        <v>7.37</v>
      </c>
      <c r="H310" s="40">
        <f t="shared" si="33"/>
        <v>9.51</v>
      </c>
      <c r="I310" s="20">
        <f>F310*H310</f>
        <v>527.71</v>
      </c>
      <c r="J310" s="124">
        <f t="shared" si="35"/>
        <v>8.8000000000000003E-4</v>
      </c>
      <c r="K310" s="133"/>
      <c r="L310" s="92"/>
      <c r="M310" s="136"/>
      <c r="N310" s="136"/>
      <c r="O310" s="136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</row>
    <row r="311" spans="1:45" s="32" customFormat="1" ht="51" x14ac:dyDescent="0.2">
      <c r="A311" s="30"/>
      <c r="B311" s="22" t="s">
        <v>1227</v>
      </c>
      <c r="C311" s="218" t="s">
        <v>747</v>
      </c>
      <c r="D311" s="12" t="s">
        <v>225</v>
      </c>
      <c r="E311" s="21" t="s">
        <v>34</v>
      </c>
      <c r="F311" s="179">
        <v>0.72</v>
      </c>
      <c r="G311" s="40">
        <v>338.69</v>
      </c>
      <c r="H311" s="40">
        <f t="shared" si="33"/>
        <v>437.14</v>
      </c>
      <c r="I311" s="20">
        <f>F311*H311</f>
        <v>314.74</v>
      </c>
      <c r="J311" s="124">
        <f t="shared" si="35"/>
        <v>5.2999999999999998E-4</v>
      </c>
      <c r="K311" s="133"/>
      <c r="L311" s="92"/>
      <c r="M311" s="136"/>
      <c r="N311" s="136"/>
      <c r="O311" s="136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</row>
    <row r="312" spans="1:45" s="32" customFormat="1" x14ac:dyDescent="0.2">
      <c r="A312" s="30"/>
      <c r="B312" s="22"/>
      <c r="C312" s="226" t="s">
        <v>224</v>
      </c>
      <c r="D312" s="84" t="s">
        <v>165</v>
      </c>
      <c r="E312" s="38"/>
      <c r="F312" s="179"/>
      <c r="G312" s="40"/>
      <c r="H312" s="40"/>
      <c r="I312" s="20"/>
      <c r="J312" s="124"/>
      <c r="K312" s="133"/>
      <c r="L312" s="92"/>
      <c r="M312" s="136"/>
      <c r="N312" s="136"/>
      <c r="O312" s="136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</row>
    <row r="313" spans="1:45" s="32" customFormat="1" ht="63.75" x14ac:dyDescent="0.2">
      <c r="A313" s="30"/>
      <c r="B313" s="22">
        <v>96485</v>
      </c>
      <c r="C313" s="218" t="s">
        <v>748</v>
      </c>
      <c r="D313" s="13" t="s">
        <v>226</v>
      </c>
      <c r="E313" s="21" t="s">
        <v>34</v>
      </c>
      <c r="F313" s="179">
        <v>18.059999999999999</v>
      </c>
      <c r="G313" s="40">
        <v>46.55</v>
      </c>
      <c r="H313" s="40">
        <f t="shared" si="33"/>
        <v>60.08</v>
      </c>
      <c r="I313" s="20">
        <f>F313*H313</f>
        <v>1085.04</v>
      </c>
      <c r="J313" s="124">
        <f>I313/$I$838</f>
        <v>1.81E-3</v>
      </c>
      <c r="K313" s="133"/>
      <c r="L313" s="92"/>
      <c r="M313" s="136"/>
      <c r="N313" s="136"/>
      <c r="O313" s="136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</row>
    <row r="314" spans="1:45" s="32" customFormat="1" ht="25.5" x14ac:dyDescent="0.2">
      <c r="A314" s="30"/>
      <c r="B314" s="22">
        <v>96121</v>
      </c>
      <c r="C314" s="218" t="s">
        <v>749</v>
      </c>
      <c r="D314" s="13" t="s">
        <v>227</v>
      </c>
      <c r="E314" s="21" t="s">
        <v>37</v>
      </c>
      <c r="F314" s="179">
        <v>24.86</v>
      </c>
      <c r="G314" s="40">
        <v>7.03</v>
      </c>
      <c r="H314" s="40">
        <f t="shared" si="33"/>
        <v>9.07</v>
      </c>
      <c r="I314" s="20">
        <f>F314*H314</f>
        <v>225.48</v>
      </c>
      <c r="J314" s="124">
        <f>I314/$I$838</f>
        <v>3.8000000000000002E-4</v>
      </c>
      <c r="K314" s="133"/>
      <c r="L314" s="92"/>
      <c r="M314" s="136"/>
      <c r="N314" s="136"/>
      <c r="O314" s="136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</row>
    <row r="315" spans="1:45" s="32" customFormat="1" x14ac:dyDescent="0.2">
      <c r="A315" s="30"/>
      <c r="B315" s="22"/>
      <c r="C315" s="226" t="s">
        <v>228</v>
      </c>
      <c r="D315" s="86" t="s">
        <v>153</v>
      </c>
      <c r="E315" s="21"/>
      <c r="F315" s="179"/>
      <c r="G315" s="40"/>
      <c r="H315" s="40"/>
      <c r="I315" s="20"/>
      <c r="J315" s="124"/>
      <c r="K315" s="133"/>
      <c r="L315" s="92"/>
      <c r="M315" s="136"/>
      <c r="N315" s="136"/>
      <c r="O315" s="136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</row>
    <row r="316" spans="1:45" s="32" customFormat="1" ht="25.5" x14ac:dyDescent="0.2">
      <c r="A316" s="30"/>
      <c r="B316" s="22">
        <v>98689</v>
      </c>
      <c r="C316" s="218" t="s">
        <v>750</v>
      </c>
      <c r="D316" s="76" t="s">
        <v>159</v>
      </c>
      <c r="E316" s="21" t="s">
        <v>37</v>
      </c>
      <c r="F316" s="179">
        <v>2</v>
      </c>
      <c r="G316" s="40">
        <v>52.28</v>
      </c>
      <c r="H316" s="40">
        <f t="shared" si="33"/>
        <v>67.47</v>
      </c>
      <c r="I316" s="20">
        <f>F316*H316</f>
        <v>134.94</v>
      </c>
      <c r="J316" s="124">
        <f>I316/$I$838</f>
        <v>2.3000000000000001E-4</v>
      </c>
      <c r="K316" s="133"/>
      <c r="L316" s="92"/>
      <c r="M316" s="136"/>
      <c r="N316" s="136"/>
      <c r="O316" s="136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</row>
    <row r="317" spans="1:45" s="32" customFormat="1" ht="51" x14ac:dyDescent="0.2">
      <c r="A317" s="30"/>
      <c r="B317" s="22" t="s">
        <v>121</v>
      </c>
      <c r="C317" s="218" t="s">
        <v>752</v>
      </c>
      <c r="D317" s="13" t="s">
        <v>230</v>
      </c>
      <c r="E317" s="21" t="s">
        <v>35</v>
      </c>
      <c r="F317" s="179">
        <v>1</v>
      </c>
      <c r="G317" s="40">
        <v>1450.85</v>
      </c>
      <c r="H317" s="40">
        <f t="shared" si="33"/>
        <v>1872.61</v>
      </c>
      <c r="I317" s="20">
        <f>F317*H317</f>
        <v>1872.61</v>
      </c>
      <c r="J317" s="124">
        <f>I317/$I$838</f>
        <v>3.13E-3</v>
      </c>
      <c r="K317" s="133"/>
      <c r="L317" s="92"/>
      <c r="M317" s="136"/>
      <c r="N317" s="136"/>
      <c r="O317" s="136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</row>
    <row r="318" spans="1:45" s="32" customFormat="1" ht="38.25" x14ac:dyDescent="0.2">
      <c r="A318" s="30"/>
      <c r="B318" s="22" t="s">
        <v>121</v>
      </c>
      <c r="C318" s="218" t="s">
        <v>753</v>
      </c>
      <c r="D318" s="13" t="s">
        <v>229</v>
      </c>
      <c r="E318" s="21" t="s">
        <v>35</v>
      </c>
      <c r="F318" s="179">
        <v>1</v>
      </c>
      <c r="G318" s="40">
        <v>909.89</v>
      </c>
      <c r="H318" s="40">
        <f t="shared" si="33"/>
        <v>1174.3900000000001</v>
      </c>
      <c r="I318" s="20">
        <f>F318*H318</f>
        <v>1174.3900000000001</v>
      </c>
      <c r="J318" s="124">
        <f>I318/$I$838</f>
        <v>1.9599999999999999E-3</v>
      </c>
      <c r="K318" s="133"/>
      <c r="L318" s="92"/>
      <c r="M318" s="136"/>
      <c r="N318" s="136"/>
      <c r="O318" s="136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</row>
    <row r="319" spans="1:45" s="32" customFormat="1" ht="38.25" x14ac:dyDescent="0.2">
      <c r="A319" s="30"/>
      <c r="B319" s="22" t="s">
        <v>121</v>
      </c>
      <c r="C319" s="218" t="s">
        <v>754</v>
      </c>
      <c r="D319" s="13" t="s">
        <v>231</v>
      </c>
      <c r="E319" s="21" t="s">
        <v>35</v>
      </c>
      <c r="F319" s="179">
        <v>1</v>
      </c>
      <c r="G319" s="40">
        <v>809.75</v>
      </c>
      <c r="H319" s="40">
        <f t="shared" si="33"/>
        <v>1045.1400000000001</v>
      </c>
      <c r="I319" s="20">
        <f>F319*H319</f>
        <v>1045.1400000000001</v>
      </c>
      <c r="J319" s="124">
        <f>I319/$I$838</f>
        <v>1.75E-3</v>
      </c>
      <c r="K319" s="133"/>
      <c r="L319" s="92"/>
      <c r="M319" s="136"/>
      <c r="N319" s="136"/>
      <c r="O319" s="136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</row>
    <row r="320" spans="1:45" s="32" customFormat="1" x14ac:dyDescent="0.2">
      <c r="A320" s="30"/>
      <c r="B320" s="83"/>
      <c r="C320" s="327" t="s">
        <v>194</v>
      </c>
      <c r="D320" s="316"/>
      <c r="E320" s="316"/>
      <c r="F320" s="316"/>
      <c r="G320" s="316"/>
      <c r="H320" s="317"/>
      <c r="I320" s="109">
        <f>SUM(I297:I319)</f>
        <v>9781.84</v>
      </c>
      <c r="J320" s="124"/>
      <c r="K320" s="133"/>
      <c r="L320" s="92"/>
      <c r="M320" s="136"/>
      <c r="N320" s="136"/>
      <c r="O320" s="136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</row>
    <row r="321" spans="1:45" s="32" customFormat="1" x14ac:dyDescent="0.2">
      <c r="A321" s="30"/>
      <c r="B321" s="22"/>
      <c r="C321" s="229" t="s">
        <v>196</v>
      </c>
      <c r="D321" s="128" t="s">
        <v>195</v>
      </c>
      <c r="E321" s="56"/>
      <c r="F321" s="180"/>
      <c r="G321" s="57"/>
      <c r="H321" s="57"/>
      <c r="I321" s="58"/>
      <c r="J321" s="47"/>
      <c r="K321" s="133"/>
      <c r="L321" s="92"/>
      <c r="M321" s="136"/>
      <c r="N321" s="136"/>
      <c r="O321" s="136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</row>
    <row r="322" spans="1:45" s="32" customFormat="1" x14ac:dyDescent="0.2">
      <c r="A322" s="30"/>
      <c r="B322" s="22"/>
      <c r="C322" s="226" t="s">
        <v>232</v>
      </c>
      <c r="D322" s="84" t="s">
        <v>147</v>
      </c>
      <c r="E322" s="21"/>
      <c r="F322" s="181"/>
      <c r="G322" s="40"/>
      <c r="H322" s="40"/>
      <c r="I322" s="20"/>
      <c r="J322" s="124"/>
      <c r="K322" s="133"/>
      <c r="L322" s="92"/>
      <c r="M322" s="136"/>
      <c r="N322" s="136"/>
      <c r="O322" s="136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</row>
    <row r="323" spans="1:45" s="32" customFormat="1" ht="38.25" x14ac:dyDescent="0.2">
      <c r="A323" s="30"/>
      <c r="B323" s="22">
        <v>94319</v>
      </c>
      <c r="C323" s="218" t="s">
        <v>755</v>
      </c>
      <c r="D323" s="217" t="s">
        <v>356</v>
      </c>
      <c r="E323" s="21" t="s">
        <v>36</v>
      </c>
      <c r="F323" s="179">
        <v>1.58</v>
      </c>
      <c r="G323" s="40">
        <v>21.94</v>
      </c>
      <c r="H323" s="40">
        <f t="shared" ref="H323:H343" si="36">TRUNC((G323*(1+$I$6)),2)</f>
        <v>28.31</v>
      </c>
      <c r="I323" s="20">
        <f>F323*H323</f>
        <v>44.73</v>
      </c>
      <c r="J323" s="124">
        <f t="shared" ref="J323:J329" si="37">I323/$I$838</f>
        <v>6.9999999999999994E-5</v>
      </c>
      <c r="K323" s="133"/>
      <c r="L323" s="92"/>
      <c r="M323" s="136"/>
      <c r="N323" s="136"/>
      <c r="O323" s="136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</row>
    <row r="324" spans="1:45" s="32" customFormat="1" ht="25.5" x14ac:dyDescent="0.2">
      <c r="A324" s="30"/>
      <c r="B324" s="22">
        <v>96624</v>
      </c>
      <c r="C324" s="218" t="s">
        <v>756</v>
      </c>
      <c r="D324" s="12" t="s">
        <v>38</v>
      </c>
      <c r="E324" s="21" t="s">
        <v>36</v>
      </c>
      <c r="F324" s="179">
        <v>0.53</v>
      </c>
      <c r="G324" s="40">
        <v>63.2</v>
      </c>
      <c r="H324" s="40">
        <f t="shared" si="36"/>
        <v>81.569999999999993</v>
      </c>
      <c r="I324" s="20">
        <f>F324*H324</f>
        <v>43.23</v>
      </c>
      <c r="J324" s="124">
        <f t="shared" si="37"/>
        <v>6.9999999999999994E-5</v>
      </c>
      <c r="K324" s="133"/>
      <c r="L324" s="92"/>
      <c r="M324" s="136"/>
      <c r="N324" s="136"/>
      <c r="O324" s="136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</row>
    <row r="325" spans="1:45" s="32" customFormat="1" ht="25.5" x14ac:dyDescent="0.2">
      <c r="A325" s="30"/>
      <c r="B325" s="22" t="s">
        <v>1226</v>
      </c>
      <c r="C325" s="218" t="s">
        <v>757</v>
      </c>
      <c r="D325" s="13" t="s">
        <v>63</v>
      </c>
      <c r="E325" s="21" t="s">
        <v>34</v>
      </c>
      <c r="F325" s="179">
        <v>10.53</v>
      </c>
      <c r="G325" s="40">
        <v>3.2</v>
      </c>
      <c r="H325" s="40">
        <f t="shared" si="36"/>
        <v>4.13</v>
      </c>
      <c r="I325" s="20">
        <f>F325*H325</f>
        <v>43.49</v>
      </c>
      <c r="J325" s="124">
        <f t="shared" si="37"/>
        <v>6.9999999999999994E-5</v>
      </c>
      <c r="K325" s="133"/>
      <c r="L325" s="92"/>
      <c r="M325" s="136"/>
      <c r="N325" s="136"/>
      <c r="O325" s="136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</row>
    <row r="326" spans="1:45" s="32" customFormat="1" ht="38.25" x14ac:dyDescent="0.2">
      <c r="A326" s="30"/>
      <c r="B326" s="22">
        <v>94991</v>
      </c>
      <c r="C326" s="218" t="s">
        <v>758</v>
      </c>
      <c r="D326" s="13" t="s">
        <v>222</v>
      </c>
      <c r="E326" s="21" t="s">
        <v>36</v>
      </c>
      <c r="F326" s="181">
        <v>0.53</v>
      </c>
      <c r="G326" s="40">
        <v>326.01</v>
      </c>
      <c r="H326" s="40">
        <f t="shared" si="36"/>
        <v>420.78</v>
      </c>
      <c r="I326" s="20">
        <f>F326*H326</f>
        <v>223.01</v>
      </c>
      <c r="J326" s="124">
        <f t="shared" si="37"/>
        <v>3.6999999999999999E-4</v>
      </c>
      <c r="K326" s="133"/>
      <c r="L326" s="92"/>
      <c r="M326" s="136"/>
      <c r="N326" s="136"/>
      <c r="O326" s="136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</row>
    <row r="327" spans="1:45" s="32" customFormat="1" ht="51" x14ac:dyDescent="0.2">
      <c r="A327" s="30"/>
      <c r="B327" s="22">
        <v>87251</v>
      </c>
      <c r="C327" s="218" t="s">
        <v>759</v>
      </c>
      <c r="D327" s="11" t="s">
        <v>1209</v>
      </c>
      <c r="E327" s="21" t="s">
        <v>34</v>
      </c>
      <c r="F327" s="179">
        <v>10.53</v>
      </c>
      <c r="G327" s="40">
        <v>22.44</v>
      </c>
      <c r="H327" s="40">
        <f t="shared" si="36"/>
        <v>28.96</v>
      </c>
      <c r="I327" s="20">
        <f>F327*H327</f>
        <v>304.95</v>
      </c>
      <c r="J327" s="124">
        <f t="shared" si="37"/>
        <v>5.1000000000000004E-4</v>
      </c>
      <c r="K327" s="133"/>
      <c r="L327" s="92"/>
      <c r="M327" s="136"/>
      <c r="N327" s="136"/>
      <c r="O327" s="136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</row>
    <row r="328" spans="1:45" s="32" customFormat="1" ht="38.25" x14ac:dyDescent="0.2">
      <c r="A328" s="30"/>
      <c r="B328" s="22">
        <v>88649</v>
      </c>
      <c r="C328" s="218" t="s">
        <v>760</v>
      </c>
      <c r="D328" s="76" t="s">
        <v>221</v>
      </c>
      <c r="E328" s="21" t="s">
        <v>37</v>
      </c>
      <c r="F328" s="179">
        <v>12.3</v>
      </c>
      <c r="G328" s="40">
        <v>3.75</v>
      </c>
      <c r="H328" s="40">
        <f t="shared" si="36"/>
        <v>4.84</v>
      </c>
      <c r="I328" s="20">
        <f>F328*H328</f>
        <v>59.53</v>
      </c>
      <c r="J328" s="124">
        <f t="shared" si="37"/>
        <v>1E-4</v>
      </c>
      <c r="K328" s="133"/>
      <c r="L328" s="92"/>
      <c r="M328" s="136"/>
      <c r="N328" s="136"/>
      <c r="O328" s="136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</row>
    <row r="329" spans="1:45" s="32" customFormat="1" ht="25.5" x14ac:dyDescent="0.2">
      <c r="A329" s="30"/>
      <c r="B329" s="22">
        <v>98689</v>
      </c>
      <c r="C329" s="218" t="s">
        <v>761</v>
      </c>
      <c r="D329" s="76" t="s">
        <v>148</v>
      </c>
      <c r="E329" s="21" t="s">
        <v>37</v>
      </c>
      <c r="F329" s="179">
        <v>0.8</v>
      </c>
      <c r="G329" s="40">
        <v>52.28</v>
      </c>
      <c r="H329" s="40">
        <f t="shared" si="36"/>
        <v>67.47</v>
      </c>
      <c r="I329" s="20">
        <f>F329*H329</f>
        <v>53.98</v>
      </c>
      <c r="J329" s="124">
        <f t="shared" si="37"/>
        <v>9.0000000000000006E-5</v>
      </c>
      <c r="K329" s="133"/>
      <c r="L329" s="92"/>
      <c r="M329" s="136"/>
      <c r="N329" s="136"/>
      <c r="O329" s="136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</row>
    <row r="330" spans="1:45" s="32" customFormat="1" x14ac:dyDescent="0.2">
      <c r="A330" s="30"/>
      <c r="B330" s="22"/>
      <c r="C330" s="226" t="s">
        <v>233</v>
      </c>
      <c r="D330" s="84" t="s">
        <v>150</v>
      </c>
      <c r="E330" s="21"/>
      <c r="F330" s="179"/>
      <c r="G330" s="40"/>
      <c r="H330" s="40"/>
      <c r="I330" s="20"/>
      <c r="J330" s="124"/>
      <c r="K330" s="133"/>
      <c r="L330" s="92"/>
      <c r="M330" s="136"/>
      <c r="N330" s="136"/>
      <c r="O330" s="136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</row>
    <row r="331" spans="1:45" s="32" customFormat="1" ht="25.5" x14ac:dyDescent="0.2">
      <c r="A331" s="30"/>
      <c r="B331" s="22">
        <v>87879</v>
      </c>
      <c r="C331" s="218" t="s">
        <v>762</v>
      </c>
      <c r="D331" s="12" t="s">
        <v>42</v>
      </c>
      <c r="E331" s="21" t="s">
        <v>34</v>
      </c>
      <c r="F331" s="179">
        <v>34.72</v>
      </c>
      <c r="G331" s="40">
        <v>1.98</v>
      </c>
      <c r="H331" s="40">
        <f t="shared" si="36"/>
        <v>2.5499999999999998</v>
      </c>
      <c r="I331" s="20">
        <f>F331*H331</f>
        <v>88.54</v>
      </c>
      <c r="J331" s="124">
        <f>I331/$I$838</f>
        <v>1.4999999999999999E-4</v>
      </c>
      <c r="K331" s="133"/>
      <c r="L331" s="92"/>
      <c r="M331" s="136"/>
      <c r="N331" s="136"/>
      <c r="O331" s="136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</row>
    <row r="332" spans="1:45" s="32" customFormat="1" ht="51" x14ac:dyDescent="0.2">
      <c r="A332" s="30"/>
      <c r="B332" s="22">
        <v>87529</v>
      </c>
      <c r="C332" s="218" t="s">
        <v>763</v>
      </c>
      <c r="D332" s="12" t="s">
        <v>154</v>
      </c>
      <c r="E332" s="19" t="s">
        <v>34</v>
      </c>
      <c r="F332" s="179">
        <v>34.72</v>
      </c>
      <c r="G332" s="40">
        <v>16.82</v>
      </c>
      <c r="H332" s="40">
        <f t="shared" si="36"/>
        <v>21.7</v>
      </c>
      <c r="I332" s="20">
        <f>F332*H332</f>
        <v>753.42</v>
      </c>
      <c r="J332" s="124">
        <f>I332/$I$838</f>
        <v>1.2600000000000001E-3</v>
      </c>
      <c r="K332" s="133"/>
      <c r="L332" s="92"/>
      <c r="M332" s="136"/>
      <c r="N332" s="136"/>
      <c r="O332" s="136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</row>
    <row r="333" spans="1:45" s="32" customFormat="1" ht="25.5" x14ac:dyDescent="0.2">
      <c r="A333" s="30"/>
      <c r="B333" s="22">
        <v>88485</v>
      </c>
      <c r="C333" s="218" t="s">
        <v>764</v>
      </c>
      <c r="D333" s="76" t="s">
        <v>155</v>
      </c>
      <c r="E333" s="21" t="s">
        <v>34</v>
      </c>
      <c r="F333" s="179">
        <v>34.72</v>
      </c>
      <c r="G333" s="40">
        <v>1.18</v>
      </c>
      <c r="H333" s="40">
        <f t="shared" si="36"/>
        <v>1.52</v>
      </c>
      <c r="I333" s="20">
        <f>F333*H333</f>
        <v>52.77</v>
      </c>
      <c r="J333" s="124">
        <f>I333/$I$838</f>
        <v>9.0000000000000006E-5</v>
      </c>
      <c r="K333" s="133"/>
      <c r="L333" s="92"/>
      <c r="M333" s="136"/>
      <c r="N333" s="136"/>
      <c r="O333" s="136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</row>
    <row r="334" spans="1:45" s="32" customFormat="1" ht="25.5" x14ac:dyDescent="0.2">
      <c r="A334" s="30"/>
      <c r="B334" s="22">
        <v>88497</v>
      </c>
      <c r="C334" s="218" t="s">
        <v>765</v>
      </c>
      <c r="D334" s="76" t="s">
        <v>102</v>
      </c>
      <c r="E334" s="21" t="s">
        <v>34</v>
      </c>
      <c r="F334" s="179">
        <v>34.72</v>
      </c>
      <c r="G334" s="40">
        <v>7.81</v>
      </c>
      <c r="H334" s="40">
        <f t="shared" si="36"/>
        <v>10.08</v>
      </c>
      <c r="I334" s="20">
        <f>F334*H334</f>
        <v>349.98</v>
      </c>
      <c r="J334" s="124">
        <f>I334/$I$838</f>
        <v>5.9000000000000003E-4</v>
      </c>
      <c r="K334" s="133"/>
      <c r="L334" s="92"/>
      <c r="M334" s="136"/>
      <c r="N334" s="136"/>
      <c r="O334" s="136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</row>
    <row r="335" spans="1:45" s="32" customFormat="1" ht="25.5" x14ac:dyDescent="0.2">
      <c r="A335" s="30"/>
      <c r="B335" s="22">
        <v>88489</v>
      </c>
      <c r="C335" s="218" t="s">
        <v>766</v>
      </c>
      <c r="D335" s="13" t="s">
        <v>43</v>
      </c>
      <c r="E335" s="21" t="s">
        <v>34</v>
      </c>
      <c r="F335" s="179">
        <v>34.72</v>
      </c>
      <c r="G335" s="40">
        <v>7.37</v>
      </c>
      <c r="H335" s="40">
        <f t="shared" si="36"/>
        <v>9.51</v>
      </c>
      <c r="I335" s="20">
        <f>F335*H335</f>
        <v>330.19</v>
      </c>
      <c r="J335" s="124">
        <f>I335/$I$838</f>
        <v>5.5000000000000003E-4</v>
      </c>
      <c r="K335" s="133"/>
      <c r="L335" s="92"/>
      <c r="M335" s="136"/>
      <c r="N335" s="136"/>
      <c r="O335" s="136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</row>
    <row r="336" spans="1:45" s="32" customFormat="1" x14ac:dyDescent="0.2">
      <c r="A336" s="30"/>
      <c r="B336" s="22"/>
      <c r="C336" s="226" t="s">
        <v>234</v>
      </c>
      <c r="D336" s="84" t="s">
        <v>165</v>
      </c>
      <c r="E336" s="38"/>
      <c r="F336" s="179"/>
      <c r="G336" s="40"/>
      <c r="H336" s="40"/>
      <c r="I336" s="20"/>
      <c r="J336" s="124"/>
      <c r="K336" s="133"/>
      <c r="L336" s="92"/>
      <c r="M336" s="136"/>
      <c r="N336" s="136"/>
      <c r="O336" s="136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</row>
    <row r="337" spans="1:45" s="32" customFormat="1" ht="63.75" x14ac:dyDescent="0.2">
      <c r="A337" s="30"/>
      <c r="B337" s="22">
        <v>96485</v>
      </c>
      <c r="C337" s="218" t="s">
        <v>767</v>
      </c>
      <c r="D337" s="13" t="s">
        <v>226</v>
      </c>
      <c r="E337" s="21" t="s">
        <v>34</v>
      </c>
      <c r="F337" s="179">
        <v>10.53</v>
      </c>
      <c r="G337" s="40">
        <v>46.55</v>
      </c>
      <c r="H337" s="40">
        <f t="shared" si="36"/>
        <v>60.08</v>
      </c>
      <c r="I337" s="20">
        <f>F337*H337</f>
        <v>632.64</v>
      </c>
      <c r="J337" s="124">
        <f>I337/$I$838</f>
        <v>1.06E-3</v>
      </c>
      <c r="K337" s="133"/>
      <c r="L337" s="92"/>
      <c r="M337" s="136"/>
      <c r="N337" s="136"/>
      <c r="O337" s="136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</row>
    <row r="338" spans="1:45" s="32" customFormat="1" ht="25.5" x14ac:dyDescent="0.2">
      <c r="A338" s="30"/>
      <c r="B338" s="22">
        <v>96121</v>
      </c>
      <c r="C338" s="218" t="s">
        <v>768</v>
      </c>
      <c r="D338" s="13" t="s">
        <v>227</v>
      </c>
      <c r="E338" s="21" t="s">
        <v>37</v>
      </c>
      <c r="F338" s="179">
        <v>13.2</v>
      </c>
      <c r="G338" s="40">
        <v>7.03</v>
      </c>
      <c r="H338" s="40">
        <f t="shared" si="36"/>
        <v>9.07</v>
      </c>
      <c r="I338" s="20">
        <f>F338*H338</f>
        <v>119.72</v>
      </c>
      <c r="J338" s="124">
        <f>I338/$I$838</f>
        <v>2.0000000000000001E-4</v>
      </c>
      <c r="K338" s="133"/>
      <c r="L338" s="92"/>
      <c r="M338" s="136"/>
      <c r="N338" s="136"/>
      <c r="O338" s="136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</row>
    <row r="339" spans="1:45" s="32" customFormat="1" x14ac:dyDescent="0.2">
      <c r="A339" s="30"/>
      <c r="B339" s="22"/>
      <c r="C339" s="226" t="s">
        <v>235</v>
      </c>
      <c r="D339" s="86" t="s">
        <v>153</v>
      </c>
      <c r="E339" s="21"/>
      <c r="F339" s="179"/>
      <c r="G339" s="40"/>
      <c r="H339" s="40"/>
      <c r="I339" s="20"/>
      <c r="J339" s="124"/>
      <c r="K339" s="133"/>
      <c r="L339" s="92"/>
      <c r="M339" s="136"/>
      <c r="N339" s="136"/>
      <c r="O339" s="136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</row>
    <row r="340" spans="1:45" s="32" customFormat="1" ht="25.5" x14ac:dyDescent="0.2">
      <c r="A340" s="30"/>
      <c r="B340" s="22">
        <v>98689</v>
      </c>
      <c r="C340" s="218" t="s">
        <v>751</v>
      </c>
      <c r="D340" s="76" t="s">
        <v>159</v>
      </c>
      <c r="E340" s="21" t="s">
        <v>37</v>
      </c>
      <c r="F340" s="179">
        <v>2</v>
      </c>
      <c r="G340" s="40">
        <v>52.28</v>
      </c>
      <c r="H340" s="40">
        <f t="shared" si="36"/>
        <v>67.47</v>
      </c>
      <c r="I340" s="20">
        <f>F340*H340</f>
        <v>134.94</v>
      </c>
      <c r="J340" s="124">
        <f>I340/$I$838</f>
        <v>2.3000000000000001E-4</v>
      </c>
      <c r="K340" s="133"/>
      <c r="L340" s="92"/>
      <c r="M340" s="136"/>
      <c r="N340" s="136"/>
      <c r="O340" s="136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</row>
    <row r="341" spans="1:45" s="32" customFormat="1" ht="89.25" x14ac:dyDescent="0.2">
      <c r="A341" s="30"/>
      <c r="B341" s="22" t="s">
        <v>1253</v>
      </c>
      <c r="C341" s="218" t="s">
        <v>769</v>
      </c>
      <c r="D341" s="13" t="s">
        <v>1256</v>
      </c>
      <c r="E341" s="21" t="s">
        <v>35</v>
      </c>
      <c r="F341" s="179">
        <v>1</v>
      </c>
      <c r="G341" s="40">
        <v>517.25</v>
      </c>
      <c r="H341" s="40">
        <f t="shared" si="36"/>
        <v>667.61</v>
      </c>
      <c r="I341" s="20">
        <f>F341*H341</f>
        <v>667.61</v>
      </c>
      <c r="J341" s="124">
        <f>I341/$I$838</f>
        <v>1.1199999999999999E-3</v>
      </c>
      <c r="K341" s="133"/>
      <c r="L341" s="92"/>
      <c r="M341" s="136"/>
      <c r="N341" s="136"/>
      <c r="O341" s="136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</row>
    <row r="342" spans="1:45" s="32" customFormat="1" ht="38.25" x14ac:dyDescent="0.2">
      <c r="A342" s="30"/>
      <c r="B342" s="22">
        <v>91306</v>
      </c>
      <c r="C342" s="218" t="s">
        <v>770</v>
      </c>
      <c r="D342" s="13" t="s">
        <v>1260</v>
      </c>
      <c r="E342" s="21" t="s">
        <v>35</v>
      </c>
      <c r="F342" s="179">
        <f>F341</f>
        <v>1</v>
      </c>
      <c r="G342" s="40">
        <v>79.69</v>
      </c>
      <c r="H342" s="40">
        <f t="shared" si="36"/>
        <v>102.85</v>
      </c>
      <c r="I342" s="20">
        <f>F342*H342</f>
        <v>102.85</v>
      </c>
      <c r="J342" s="124">
        <f>I342/$I$838</f>
        <v>1.7000000000000001E-4</v>
      </c>
      <c r="K342" s="133"/>
      <c r="L342" s="92"/>
      <c r="M342" s="136"/>
      <c r="N342" s="136"/>
      <c r="O342" s="136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</row>
    <row r="343" spans="1:45" s="32" customFormat="1" ht="38.25" x14ac:dyDescent="0.2">
      <c r="A343" s="30"/>
      <c r="B343" s="22" t="s">
        <v>121</v>
      </c>
      <c r="C343" s="218" t="s">
        <v>1265</v>
      </c>
      <c r="D343" s="13" t="s">
        <v>231</v>
      </c>
      <c r="E343" s="21" t="s">
        <v>35</v>
      </c>
      <c r="F343" s="179">
        <v>1</v>
      </c>
      <c r="G343" s="40">
        <v>809.75</v>
      </c>
      <c r="H343" s="40">
        <f t="shared" si="36"/>
        <v>1045.1400000000001</v>
      </c>
      <c r="I343" s="20">
        <f>F343*H343</f>
        <v>1045.1400000000001</v>
      </c>
      <c r="J343" s="124">
        <f>I343/$I$838</f>
        <v>1.75E-3</v>
      </c>
      <c r="K343" s="133"/>
      <c r="L343" s="92"/>
      <c r="M343" s="136"/>
      <c r="N343" s="136"/>
      <c r="O343" s="136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</row>
    <row r="344" spans="1:45" s="32" customFormat="1" x14ac:dyDescent="0.2">
      <c r="A344" s="30"/>
      <c r="B344" s="22"/>
      <c r="C344" s="247"/>
      <c r="D344" s="316" t="s">
        <v>197</v>
      </c>
      <c r="E344" s="316"/>
      <c r="F344" s="316"/>
      <c r="G344" s="316"/>
      <c r="H344" s="317"/>
      <c r="I344" s="109">
        <f>SUM(I322:I343)</f>
        <v>5050.72</v>
      </c>
      <c r="J344" s="124"/>
      <c r="K344" s="133"/>
      <c r="L344" s="92"/>
      <c r="M344" s="136"/>
      <c r="N344" s="136"/>
      <c r="O344" s="136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</row>
    <row r="345" spans="1:45" s="32" customFormat="1" x14ac:dyDescent="0.2">
      <c r="A345" s="30"/>
      <c r="B345" s="22"/>
      <c r="C345" s="229" t="s">
        <v>198</v>
      </c>
      <c r="D345" s="128" t="s">
        <v>199</v>
      </c>
      <c r="E345" s="56"/>
      <c r="F345" s="180"/>
      <c r="G345" s="57"/>
      <c r="H345" s="57"/>
      <c r="I345" s="58"/>
      <c r="J345" s="47"/>
      <c r="K345" s="133"/>
      <c r="L345" s="92"/>
      <c r="M345" s="136"/>
      <c r="N345" s="136"/>
      <c r="O345" s="136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</row>
    <row r="346" spans="1:45" s="32" customFormat="1" x14ac:dyDescent="0.2">
      <c r="A346" s="30"/>
      <c r="B346" s="22"/>
      <c r="C346" s="226" t="s">
        <v>236</v>
      </c>
      <c r="D346" s="84" t="s">
        <v>147</v>
      </c>
      <c r="E346" s="21"/>
      <c r="F346" s="181"/>
      <c r="G346" s="40"/>
      <c r="H346" s="40"/>
      <c r="I346" s="20"/>
      <c r="J346" s="124"/>
      <c r="K346" s="133"/>
      <c r="L346" s="92"/>
      <c r="M346" s="136"/>
      <c r="N346" s="136"/>
      <c r="O346" s="136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</row>
    <row r="347" spans="1:45" s="32" customFormat="1" ht="38.25" x14ac:dyDescent="0.2">
      <c r="A347" s="30"/>
      <c r="B347" s="22">
        <v>94319</v>
      </c>
      <c r="C347" s="218" t="s">
        <v>771</v>
      </c>
      <c r="D347" s="217" t="s">
        <v>356</v>
      </c>
      <c r="E347" s="21" t="s">
        <v>36</v>
      </c>
      <c r="F347" s="179">
        <v>2.8</v>
      </c>
      <c r="G347" s="40">
        <v>21.94</v>
      </c>
      <c r="H347" s="40">
        <f t="shared" ref="H347:H368" si="38">TRUNC((G347*(1+$I$6)),2)</f>
        <v>28.31</v>
      </c>
      <c r="I347" s="20">
        <f>F347*H347</f>
        <v>79.27</v>
      </c>
      <c r="J347" s="124">
        <f t="shared" ref="J347:J353" si="39">I347/$I$838</f>
        <v>1.2999999999999999E-4</v>
      </c>
      <c r="K347" s="133"/>
      <c r="L347" s="92"/>
      <c r="M347" s="136"/>
      <c r="N347" s="136"/>
      <c r="O347" s="136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</row>
    <row r="348" spans="1:45" s="32" customFormat="1" ht="25.5" x14ac:dyDescent="0.2">
      <c r="A348" s="30"/>
      <c r="B348" s="22">
        <v>96624</v>
      </c>
      <c r="C348" s="218" t="s">
        <v>742</v>
      </c>
      <c r="D348" s="12" t="s">
        <v>38</v>
      </c>
      <c r="E348" s="21" t="s">
        <v>36</v>
      </c>
      <c r="F348" s="179">
        <v>0.93</v>
      </c>
      <c r="G348" s="40">
        <v>63.2</v>
      </c>
      <c r="H348" s="40">
        <f t="shared" si="38"/>
        <v>81.569999999999993</v>
      </c>
      <c r="I348" s="20">
        <f>F348*H348</f>
        <v>75.86</v>
      </c>
      <c r="J348" s="124">
        <f t="shared" si="39"/>
        <v>1.2999999999999999E-4</v>
      </c>
      <c r="K348" s="133"/>
      <c r="L348" s="92"/>
      <c r="M348" s="136"/>
      <c r="N348" s="136"/>
      <c r="O348" s="136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</row>
    <row r="349" spans="1:45" s="32" customFormat="1" ht="25.5" x14ac:dyDescent="0.2">
      <c r="A349" s="30"/>
      <c r="B349" s="22" t="s">
        <v>1226</v>
      </c>
      <c r="C349" s="218" t="s">
        <v>772</v>
      </c>
      <c r="D349" s="13" t="s">
        <v>63</v>
      </c>
      <c r="E349" s="21" t="s">
        <v>34</v>
      </c>
      <c r="F349" s="179">
        <v>18.64</v>
      </c>
      <c r="G349" s="40">
        <v>3.2</v>
      </c>
      <c r="H349" s="40">
        <f t="shared" si="38"/>
        <v>4.13</v>
      </c>
      <c r="I349" s="20">
        <f>F349*H349</f>
        <v>76.98</v>
      </c>
      <c r="J349" s="124">
        <f t="shared" si="39"/>
        <v>1.2999999999999999E-4</v>
      </c>
      <c r="K349" s="133"/>
      <c r="L349" s="92"/>
      <c r="M349" s="136"/>
      <c r="N349" s="136"/>
      <c r="O349" s="136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</row>
    <row r="350" spans="1:45" s="32" customFormat="1" ht="38.25" x14ac:dyDescent="0.2">
      <c r="A350" s="30"/>
      <c r="B350" s="22">
        <v>94991</v>
      </c>
      <c r="C350" s="218" t="s">
        <v>773</v>
      </c>
      <c r="D350" s="13" t="s">
        <v>222</v>
      </c>
      <c r="E350" s="21" t="s">
        <v>36</v>
      </c>
      <c r="F350" s="181">
        <v>0.93</v>
      </c>
      <c r="G350" s="40">
        <v>326.01</v>
      </c>
      <c r="H350" s="40">
        <f t="shared" si="38"/>
        <v>420.78</v>
      </c>
      <c r="I350" s="20">
        <f>F350*H350</f>
        <v>391.33</v>
      </c>
      <c r="J350" s="124">
        <f t="shared" si="39"/>
        <v>6.4999999999999997E-4</v>
      </c>
      <c r="K350" s="133"/>
      <c r="L350" s="92"/>
      <c r="M350" s="136"/>
      <c r="N350" s="136"/>
      <c r="O350" s="136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</row>
    <row r="351" spans="1:45" s="32" customFormat="1" ht="51" x14ac:dyDescent="0.2">
      <c r="A351" s="30"/>
      <c r="B351" s="22">
        <v>87251</v>
      </c>
      <c r="C351" s="218" t="s">
        <v>774</v>
      </c>
      <c r="D351" s="11" t="s">
        <v>1209</v>
      </c>
      <c r="E351" s="21" t="s">
        <v>34</v>
      </c>
      <c r="F351" s="179">
        <v>18.64</v>
      </c>
      <c r="G351" s="40">
        <v>22.44</v>
      </c>
      <c r="H351" s="40">
        <f t="shared" si="38"/>
        <v>28.96</v>
      </c>
      <c r="I351" s="20">
        <f>F351*H351</f>
        <v>539.80999999999995</v>
      </c>
      <c r="J351" s="124">
        <f t="shared" si="39"/>
        <v>8.9999999999999998E-4</v>
      </c>
      <c r="K351" s="133"/>
      <c r="L351" s="92"/>
      <c r="M351" s="136"/>
      <c r="N351" s="136"/>
      <c r="O351" s="136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</row>
    <row r="352" spans="1:45" s="32" customFormat="1" ht="38.25" x14ac:dyDescent="0.2">
      <c r="A352" s="30"/>
      <c r="B352" s="22">
        <v>88649</v>
      </c>
      <c r="C352" s="218" t="s">
        <v>775</v>
      </c>
      <c r="D352" s="76" t="s">
        <v>221</v>
      </c>
      <c r="E352" s="21" t="s">
        <v>37</v>
      </c>
      <c r="F352" s="179">
        <v>15.35</v>
      </c>
      <c r="G352" s="40">
        <v>3.75</v>
      </c>
      <c r="H352" s="40">
        <f t="shared" si="38"/>
        <v>4.84</v>
      </c>
      <c r="I352" s="20">
        <f>F352*H352</f>
        <v>74.290000000000006</v>
      </c>
      <c r="J352" s="124">
        <f t="shared" si="39"/>
        <v>1.2E-4</v>
      </c>
      <c r="K352" s="133"/>
      <c r="L352" s="92"/>
      <c r="M352" s="136"/>
      <c r="N352" s="136"/>
      <c r="O352" s="136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</row>
    <row r="353" spans="1:45" s="32" customFormat="1" ht="25.5" x14ac:dyDescent="0.2">
      <c r="A353" s="30"/>
      <c r="B353" s="22">
        <v>98689</v>
      </c>
      <c r="C353" s="218" t="s">
        <v>776</v>
      </c>
      <c r="D353" s="76" t="s">
        <v>148</v>
      </c>
      <c r="E353" s="21" t="s">
        <v>37</v>
      </c>
      <c r="F353" s="179">
        <v>2.4500000000000002</v>
      </c>
      <c r="G353" s="40">
        <v>52.28</v>
      </c>
      <c r="H353" s="40">
        <f t="shared" si="38"/>
        <v>67.47</v>
      </c>
      <c r="I353" s="20">
        <f>F353*H353</f>
        <v>165.3</v>
      </c>
      <c r="J353" s="124">
        <f t="shared" si="39"/>
        <v>2.7999999999999998E-4</v>
      </c>
      <c r="K353" s="133"/>
      <c r="L353" s="92"/>
      <c r="M353" s="136"/>
      <c r="N353" s="136"/>
      <c r="O353" s="136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</row>
    <row r="354" spans="1:45" s="32" customFormat="1" x14ac:dyDescent="0.2">
      <c r="A354" s="30"/>
      <c r="B354" s="22"/>
      <c r="C354" s="226" t="s">
        <v>237</v>
      </c>
      <c r="D354" s="84" t="s">
        <v>150</v>
      </c>
      <c r="E354" s="21"/>
      <c r="F354" s="179"/>
      <c r="G354" s="40"/>
      <c r="H354" s="40"/>
      <c r="I354" s="20"/>
      <c r="J354" s="124"/>
      <c r="K354" s="133"/>
      <c r="L354" s="92"/>
      <c r="M354" s="136"/>
      <c r="N354" s="136"/>
      <c r="O354" s="136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</row>
    <row r="355" spans="1:45" s="32" customFormat="1" ht="25.5" x14ac:dyDescent="0.2">
      <c r="A355" s="30"/>
      <c r="B355" s="22">
        <v>87879</v>
      </c>
      <c r="C355" s="218" t="s">
        <v>777</v>
      </c>
      <c r="D355" s="12" t="s">
        <v>42</v>
      </c>
      <c r="E355" s="21" t="s">
        <v>34</v>
      </c>
      <c r="F355" s="179">
        <v>46.35</v>
      </c>
      <c r="G355" s="40">
        <v>1.98</v>
      </c>
      <c r="H355" s="40">
        <f t="shared" si="38"/>
        <v>2.5499999999999998</v>
      </c>
      <c r="I355" s="20">
        <f>F355*H355</f>
        <v>118.19</v>
      </c>
      <c r="J355" s="124">
        <f>I355/$I$838</f>
        <v>2.0000000000000001E-4</v>
      </c>
      <c r="K355" s="133"/>
      <c r="L355" s="92"/>
      <c r="M355" s="136"/>
      <c r="N355" s="136"/>
      <c r="O355" s="136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</row>
    <row r="356" spans="1:45" s="32" customFormat="1" ht="51" x14ac:dyDescent="0.2">
      <c r="A356" s="30"/>
      <c r="B356" s="22">
        <v>87529</v>
      </c>
      <c r="C356" s="218" t="s">
        <v>778</v>
      </c>
      <c r="D356" s="12" t="s">
        <v>154</v>
      </c>
      <c r="E356" s="19" t="s">
        <v>34</v>
      </c>
      <c r="F356" s="179">
        <v>46.35</v>
      </c>
      <c r="G356" s="40">
        <v>16.82</v>
      </c>
      <c r="H356" s="40">
        <f t="shared" si="38"/>
        <v>21.7</v>
      </c>
      <c r="I356" s="20">
        <f>F356*H356</f>
        <v>1005.8</v>
      </c>
      <c r="J356" s="124">
        <f>I356/$I$838</f>
        <v>1.6800000000000001E-3</v>
      </c>
      <c r="K356" s="133"/>
      <c r="L356" s="92"/>
      <c r="M356" s="136"/>
      <c r="N356" s="136"/>
      <c r="O356" s="136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</row>
    <row r="357" spans="1:45" s="32" customFormat="1" ht="25.5" x14ac:dyDescent="0.2">
      <c r="A357" s="30"/>
      <c r="B357" s="22">
        <v>88485</v>
      </c>
      <c r="C357" s="218" t="s">
        <v>779</v>
      </c>
      <c r="D357" s="76" t="s">
        <v>155</v>
      </c>
      <c r="E357" s="21" t="s">
        <v>34</v>
      </c>
      <c r="F357" s="179">
        <v>46.35</v>
      </c>
      <c r="G357" s="40">
        <v>1.18</v>
      </c>
      <c r="H357" s="40">
        <f t="shared" si="38"/>
        <v>1.52</v>
      </c>
      <c r="I357" s="20">
        <f>F357*H357</f>
        <v>70.45</v>
      </c>
      <c r="J357" s="124">
        <f>I357/$I$838</f>
        <v>1.2E-4</v>
      </c>
      <c r="K357" s="133"/>
      <c r="L357" s="92"/>
      <c r="M357" s="136"/>
      <c r="N357" s="136"/>
      <c r="O357" s="136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</row>
    <row r="358" spans="1:45" s="32" customFormat="1" ht="25.5" x14ac:dyDescent="0.2">
      <c r="A358" s="30"/>
      <c r="B358" s="22">
        <v>88497</v>
      </c>
      <c r="C358" s="218" t="s">
        <v>780</v>
      </c>
      <c r="D358" s="76" t="s">
        <v>102</v>
      </c>
      <c r="E358" s="21" t="s">
        <v>34</v>
      </c>
      <c r="F358" s="179">
        <v>46.35</v>
      </c>
      <c r="G358" s="40">
        <v>7.81</v>
      </c>
      <c r="H358" s="40">
        <f t="shared" si="38"/>
        <v>10.08</v>
      </c>
      <c r="I358" s="20">
        <f>F358*H358</f>
        <v>467.21</v>
      </c>
      <c r="J358" s="124">
        <f>I358/$I$838</f>
        <v>7.7999999999999999E-4</v>
      </c>
      <c r="K358" s="133"/>
      <c r="L358" s="92"/>
      <c r="M358" s="136"/>
      <c r="N358" s="136"/>
      <c r="O358" s="136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</row>
    <row r="359" spans="1:45" s="32" customFormat="1" ht="25.5" x14ac:dyDescent="0.2">
      <c r="A359" s="30"/>
      <c r="B359" s="22">
        <v>88489</v>
      </c>
      <c r="C359" s="218" t="s">
        <v>781</v>
      </c>
      <c r="D359" s="13" t="s">
        <v>43</v>
      </c>
      <c r="E359" s="21" t="s">
        <v>34</v>
      </c>
      <c r="F359" s="179">
        <v>46.35</v>
      </c>
      <c r="G359" s="40">
        <v>7.37</v>
      </c>
      <c r="H359" s="40">
        <f t="shared" si="38"/>
        <v>9.51</v>
      </c>
      <c r="I359" s="20">
        <f>F359*H359</f>
        <v>440.79</v>
      </c>
      <c r="J359" s="124">
        <f>I359/$I$838</f>
        <v>7.3999999999999999E-4</v>
      </c>
      <c r="K359" s="133"/>
      <c r="L359" s="92"/>
      <c r="M359" s="136"/>
      <c r="N359" s="136"/>
      <c r="O359" s="136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</row>
    <row r="360" spans="1:45" s="32" customFormat="1" x14ac:dyDescent="0.2">
      <c r="A360" s="30"/>
      <c r="B360" s="22"/>
      <c r="C360" s="226" t="s">
        <v>238</v>
      </c>
      <c r="D360" s="84" t="s">
        <v>165</v>
      </c>
      <c r="E360" s="38"/>
      <c r="F360" s="179"/>
      <c r="G360" s="40"/>
      <c r="H360" s="40"/>
      <c r="I360" s="20"/>
      <c r="J360" s="124"/>
      <c r="K360" s="133"/>
      <c r="L360" s="92"/>
      <c r="M360" s="136"/>
      <c r="N360" s="136"/>
      <c r="O360" s="136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</row>
    <row r="361" spans="1:45" s="32" customFormat="1" ht="63.75" x14ac:dyDescent="0.2">
      <c r="A361" s="30"/>
      <c r="B361" s="22">
        <v>96485</v>
      </c>
      <c r="C361" s="218" t="s">
        <v>1269</v>
      </c>
      <c r="D361" s="13" t="s">
        <v>226</v>
      </c>
      <c r="E361" s="21" t="s">
        <v>34</v>
      </c>
      <c r="F361" s="179">
        <v>18.64</v>
      </c>
      <c r="G361" s="40">
        <v>46.55</v>
      </c>
      <c r="H361" s="40">
        <f t="shared" si="38"/>
        <v>60.08</v>
      </c>
      <c r="I361" s="20">
        <f>F361*H361</f>
        <v>1119.8900000000001</v>
      </c>
      <c r="J361" s="124">
        <f>I361/$I$838</f>
        <v>1.8699999999999999E-3</v>
      </c>
      <c r="K361" s="133"/>
      <c r="L361" s="92"/>
      <c r="M361" s="136"/>
      <c r="N361" s="136"/>
      <c r="O361" s="136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</row>
    <row r="362" spans="1:45" s="32" customFormat="1" ht="25.5" x14ac:dyDescent="0.2">
      <c r="A362" s="30"/>
      <c r="B362" s="22">
        <v>96121</v>
      </c>
      <c r="C362" s="218" t="s">
        <v>1270</v>
      </c>
      <c r="D362" s="13" t="s">
        <v>227</v>
      </c>
      <c r="E362" s="21" t="s">
        <v>37</v>
      </c>
      <c r="F362" s="179">
        <v>18.64</v>
      </c>
      <c r="G362" s="40">
        <v>7.03</v>
      </c>
      <c r="H362" s="40">
        <f t="shared" si="38"/>
        <v>9.07</v>
      </c>
      <c r="I362" s="20">
        <f>F362*H362</f>
        <v>169.06</v>
      </c>
      <c r="J362" s="124">
        <f>I362/$I$838</f>
        <v>2.7999999999999998E-4</v>
      </c>
      <c r="K362" s="133"/>
      <c r="L362" s="92"/>
      <c r="M362" s="136"/>
      <c r="N362" s="136"/>
      <c r="O362" s="136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</row>
    <row r="363" spans="1:45" s="32" customFormat="1" x14ac:dyDescent="0.2">
      <c r="A363" s="30"/>
      <c r="B363" s="22"/>
      <c r="C363" s="226" t="s">
        <v>239</v>
      </c>
      <c r="D363" s="86" t="s">
        <v>153</v>
      </c>
      <c r="E363" s="21"/>
      <c r="F363" s="179"/>
      <c r="G363" s="40"/>
      <c r="H363" s="40"/>
      <c r="I363" s="20"/>
      <c r="J363" s="124"/>
      <c r="K363" s="133"/>
      <c r="L363" s="92"/>
      <c r="M363" s="136"/>
      <c r="N363" s="136"/>
      <c r="O363" s="136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</row>
    <row r="364" spans="1:45" s="32" customFormat="1" ht="25.5" x14ac:dyDescent="0.2">
      <c r="A364" s="30"/>
      <c r="B364" s="22">
        <v>98689</v>
      </c>
      <c r="C364" s="218" t="s">
        <v>1271</v>
      </c>
      <c r="D364" s="76" t="s">
        <v>159</v>
      </c>
      <c r="E364" s="21" t="s">
        <v>37</v>
      </c>
      <c r="F364" s="179">
        <v>2</v>
      </c>
      <c r="G364" s="40">
        <v>52.28</v>
      </c>
      <c r="H364" s="40">
        <f t="shared" si="38"/>
        <v>67.47</v>
      </c>
      <c r="I364" s="20">
        <f>F364*H364</f>
        <v>134.94</v>
      </c>
      <c r="J364" s="124">
        <f>I364/$I$838</f>
        <v>2.3000000000000001E-4</v>
      </c>
      <c r="K364" s="133"/>
      <c r="L364" s="92"/>
      <c r="M364" s="136"/>
      <c r="N364" s="136"/>
      <c r="O364" s="136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</row>
    <row r="365" spans="1:45" s="32" customFormat="1" ht="89.25" x14ac:dyDescent="0.2">
      <c r="A365" s="30"/>
      <c r="B365" s="22" t="s">
        <v>1253</v>
      </c>
      <c r="C365" s="218" t="s">
        <v>1272</v>
      </c>
      <c r="D365" s="13" t="s">
        <v>1256</v>
      </c>
      <c r="E365" s="21" t="s">
        <v>35</v>
      </c>
      <c r="F365" s="179">
        <v>1</v>
      </c>
      <c r="G365" s="40">
        <v>517.25</v>
      </c>
      <c r="H365" s="40">
        <f t="shared" si="38"/>
        <v>667.61</v>
      </c>
      <c r="I365" s="20">
        <f>F365*H365</f>
        <v>667.61</v>
      </c>
      <c r="J365" s="124">
        <f>I365/$I$838</f>
        <v>1.1199999999999999E-3</v>
      </c>
      <c r="K365" s="133"/>
      <c r="L365" s="92"/>
      <c r="M365" s="136"/>
      <c r="N365" s="136"/>
      <c r="O365" s="136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</row>
    <row r="366" spans="1:45" s="32" customFormat="1" ht="38.25" x14ac:dyDescent="0.2">
      <c r="A366" s="30"/>
      <c r="B366" s="22">
        <v>91306</v>
      </c>
      <c r="C366" s="218" t="s">
        <v>1273</v>
      </c>
      <c r="D366" s="13" t="s">
        <v>1260</v>
      </c>
      <c r="E366" s="21" t="s">
        <v>35</v>
      </c>
      <c r="F366" s="179">
        <f>F365</f>
        <v>1</v>
      </c>
      <c r="G366" s="40">
        <v>79.69</v>
      </c>
      <c r="H366" s="40">
        <f t="shared" si="38"/>
        <v>102.85</v>
      </c>
      <c r="I366" s="20">
        <f>F366*H366</f>
        <v>102.85</v>
      </c>
      <c r="J366" s="124">
        <f>I366/$I$838</f>
        <v>1.7000000000000001E-4</v>
      </c>
      <c r="K366" s="133"/>
      <c r="L366" s="92"/>
      <c r="M366" s="136"/>
      <c r="N366" s="136"/>
      <c r="O366" s="136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</row>
    <row r="367" spans="1:45" s="32" customFormat="1" ht="38.25" x14ac:dyDescent="0.2">
      <c r="A367" s="30"/>
      <c r="B367" s="22" t="s">
        <v>121</v>
      </c>
      <c r="C367" s="218" t="s">
        <v>782</v>
      </c>
      <c r="D367" s="13" t="s">
        <v>240</v>
      </c>
      <c r="E367" s="21" t="s">
        <v>35</v>
      </c>
      <c r="F367" s="179">
        <v>1</v>
      </c>
      <c r="G367" s="40">
        <v>1433.27</v>
      </c>
      <c r="H367" s="40">
        <f t="shared" si="38"/>
        <v>1849.92</v>
      </c>
      <c r="I367" s="20">
        <f>F367*H367</f>
        <v>1849.92</v>
      </c>
      <c r="J367" s="124">
        <f>I367/$I$838</f>
        <v>3.0899999999999999E-3</v>
      </c>
      <c r="K367" s="133"/>
      <c r="L367" s="92"/>
      <c r="M367" s="136"/>
      <c r="N367" s="136"/>
      <c r="O367" s="136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</row>
    <row r="368" spans="1:45" s="32" customFormat="1" ht="38.25" x14ac:dyDescent="0.2">
      <c r="A368" s="30"/>
      <c r="B368" s="22" t="s">
        <v>121</v>
      </c>
      <c r="C368" s="218" t="s">
        <v>783</v>
      </c>
      <c r="D368" s="13" t="s">
        <v>231</v>
      </c>
      <c r="E368" s="21" t="s">
        <v>35</v>
      </c>
      <c r="F368" s="179">
        <v>1</v>
      </c>
      <c r="G368" s="40">
        <v>809.75</v>
      </c>
      <c r="H368" s="40">
        <f t="shared" si="38"/>
        <v>1045.1400000000001</v>
      </c>
      <c r="I368" s="20">
        <f>F368*H368</f>
        <v>1045.1400000000001</v>
      </c>
      <c r="J368" s="124">
        <f>I368/$I$838</f>
        <v>1.75E-3</v>
      </c>
      <c r="K368" s="133"/>
      <c r="L368" s="92"/>
      <c r="M368" s="136"/>
      <c r="N368" s="136"/>
      <c r="O368" s="136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</row>
    <row r="369" spans="1:45" s="32" customFormat="1" x14ac:dyDescent="0.2">
      <c r="A369" s="30"/>
      <c r="B369" s="22"/>
      <c r="C369" s="247"/>
      <c r="D369" s="316" t="s">
        <v>200</v>
      </c>
      <c r="E369" s="316"/>
      <c r="F369" s="316"/>
      <c r="G369" s="316"/>
      <c r="H369" s="317"/>
      <c r="I369" s="109">
        <f>SUM(I346:I368)</f>
        <v>8594.69</v>
      </c>
      <c r="J369" s="124"/>
      <c r="K369" s="133"/>
      <c r="L369" s="92"/>
      <c r="M369" s="136"/>
      <c r="N369" s="136"/>
      <c r="O369" s="136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</row>
    <row r="370" spans="1:45" s="32" customFormat="1" x14ac:dyDescent="0.2">
      <c r="A370" s="30"/>
      <c r="B370" s="22"/>
      <c r="C370" s="229" t="s">
        <v>201</v>
      </c>
      <c r="D370" s="128" t="s">
        <v>202</v>
      </c>
      <c r="E370" s="56"/>
      <c r="F370" s="180"/>
      <c r="G370" s="57"/>
      <c r="H370" s="57"/>
      <c r="I370" s="58"/>
      <c r="J370" s="124"/>
      <c r="K370" s="133"/>
      <c r="L370" s="92"/>
      <c r="M370" s="136"/>
      <c r="N370" s="136"/>
      <c r="O370" s="136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</row>
    <row r="371" spans="1:45" s="32" customFormat="1" x14ac:dyDescent="0.2">
      <c r="A371" s="30"/>
      <c r="B371" s="22"/>
      <c r="C371" s="226" t="s">
        <v>241</v>
      </c>
      <c r="D371" s="84" t="s">
        <v>147</v>
      </c>
      <c r="E371" s="21"/>
      <c r="F371" s="181"/>
      <c r="G371" s="40"/>
      <c r="H371" s="40"/>
      <c r="I371" s="20"/>
      <c r="J371" s="124"/>
      <c r="K371" s="133"/>
      <c r="L371" s="92"/>
      <c r="M371" s="136"/>
      <c r="N371" s="136"/>
      <c r="O371" s="136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</row>
    <row r="372" spans="1:45" s="32" customFormat="1" ht="38.25" x14ac:dyDescent="0.2">
      <c r="A372" s="30"/>
      <c r="B372" s="22">
        <v>94319</v>
      </c>
      <c r="C372" s="218" t="s">
        <v>784</v>
      </c>
      <c r="D372" s="217" t="s">
        <v>356</v>
      </c>
      <c r="E372" s="21" t="s">
        <v>36</v>
      </c>
      <c r="F372" s="179">
        <v>1.46</v>
      </c>
      <c r="G372" s="40">
        <v>21.94</v>
      </c>
      <c r="H372" s="40">
        <f t="shared" ref="H372:H392" si="40">TRUNC((G372*(1+$I$6)),2)</f>
        <v>28.31</v>
      </c>
      <c r="I372" s="20">
        <f>F372*H372</f>
        <v>41.33</v>
      </c>
      <c r="J372" s="124">
        <f t="shared" ref="J372:J378" si="41">I372/$I$838</f>
        <v>6.9999999999999994E-5</v>
      </c>
      <c r="K372" s="133"/>
      <c r="L372" s="92"/>
      <c r="M372" s="136"/>
      <c r="N372" s="136"/>
      <c r="O372" s="136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</row>
    <row r="373" spans="1:45" s="32" customFormat="1" ht="25.5" x14ac:dyDescent="0.2">
      <c r="A373" s="30"/>
      <c r="B373" s="22">
        <v>96624</v>
      </c>
      <c r="C373" s="218" t="s">
        <v>785</v>
      </c>
      <c r="D373" s="12" t="s">
        <v>38</v>
      </c>
      <c r="E373" s="21" t="s">
        <v>36</v>
      </c>
      <c r="F373" s="179">
        <v>0.49</v>
      </c>
      <c r="G373" s="40">
        <v>63.2</v>
      </c>
      <c r="H373" s="40">
        <f t="shared" si="40"/>
        <v>81.569999999999993</v>
      </c>
      <c r="I373" s="20">
        <f>F373*H373</f>
        <v>39.97</v>
      </c>
      <c r="J373" s="124">
        <f t="shared" si="41"/>
        <v>6.9999999999999994E-5</v>
      </c>
      <c r="K373" s="133"/>
      <c r="L373" s="92"/>
      <c r="M373" s="136"/>
      <c r="N373" s="136"/>
      <c r="O373" s="136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</row>
    <row r="374" spans="1:45" s="32" customFormat="1" ht="25.5" x14ac:dyDescent="0.2">
      <c r="A374" s="30"/>
      <c r="B374" s="22" t="s">
        <v>1226</v>
      </c>
      <c r="C374" s="218" t="s">
        <v>786</v>
      </c>
      <c r="D374" s="13" t="s">
        <v>63</v>
      </c>
      <c r="E374" s="21" t="s">
        <v>34</v>
      </c>
      <c r="F374" s="179">
        <v>9.7200000000000006</v>
      </c>
      <c r="G374" s="40">
        <v>3.2</v>
      </c>
      <c r="H374" s="40">
        <f t="shared" si="40"/>
        <v>4.13</v>
      </c>
      <c r="I374" s="20">
        <f>F374*H374</f>
        <v>40.14</v>
      </c>
      <c r="J374" s="124">
        <f t="shared" si="41"/>
        <v>6.9999999999999994E-5</v>
      </c>
      <c r="K374" s="133"/>
      <c r="L374" s="92"/>
      <c r="M374" s="136"/>
      <c r="N374" s="136"/>
      <c r="O374" s="136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</row>
    <row r="375" spans="1:45" s="32" customFormat="1" ht="38.25" x14ac:dyDescent="0.2">
      <c r="A375" s="30"/>
      <c r="B375" s="22">
        <v>94991</v>
      </c>
      <c r="C375" s="218" t="s">
        <v>787</v>
      </c>
      <c r="D375" s="13" t="s">
        <v>222</v>
      </c>
      <c r="E375" s="21" t="s">
        <v>36</v>
      </c>
      <c r="F375" s="181">
        <v>0.49</v>
      </c>
      <c r="G375" s="40">
        <v>326.01</v>
      </c>
      <c r="H375" s="40">
        <f t="shared" si="40"/>
        <v>420.78</v>
      </c>
      <c r="I375" s="20">
        <f>F375*H375</f>
        <v>206.18</v>
      </c>
      <c r="J375" s="124">
        <f t="shared" si="41"/>
        <v>3.4000000000000002E-4</v>
      </c>
      <c r="K375" s="133"/>
      <c r="L375" s="92"/>
      <c r="M375" s="136"/>
      <c r="N375" s="136"/>
      <c r="O375" s="136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</row>
    <row r="376" spans="1:45" s="32" customFormat="1" ht="51" x14ac:dyDescent="0.2">
      <c r="A376" s="30"/>
      <c r="B376" s="22">
        <v>87251</v>
      </c>
      <c r="C376" s="218" t="s">
        <v>788</v>
      </c>
      <c r="D376" s="11" t="s">
        <v>1209</v>
      </c>
      <c r="E376" s="21" t="s">
        <v>34</v>
      </c>
      <c r="F376" s="179">
        <v>9.7200000000000006</v>
      </c>
      <c r="G376" s="40">
        <v>22.44</v>
      </c>
      <c r="H376" s="40">
        <f t="shared" si="40"/>
        <v>28.96</v>
      </c>
      <c r="I376" s="20">
        <f>F376*H376</f>
        <v>281.49</v>
      </c>
      <c r="J376" s="124">
        <f t="shared" si="41"/>
        <v>4.6999999999999999E-4</v>
      </c>
      <c r="K376" s="133"/>
      <c r="L376" s="92"/>
      <c r="M376" s="136"/>
      <c r="N376" s="136"/>
      <c r="O376" s="136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</row>
    <row r="377" spans="1:45" s="32" customFormat="1" ht="38.25" x14ac:dyDescent="0.2">
      <c r="A377" s="30"/>
      <c r="B377" s="22">
        <v>88649</v>
      </c>
      <c r="C377" s="218" t="s">
        <v>789</v>
      </c>
      <c r="D377" s="76" t="s">
        <v>221</v>
      </c>
      <c r="E377" s="21" t="s">
        <v>37</v>
      </c>
      <c r="F377" s="179">
        <v>13.84</v>
      </c>
      <c r="G377" s="40">
        <v>3.75</v>
      </c>
      <c r="H377" s="40">
        <f t="shared" si="40"/>
        <v>4.84</v>
      </c>
      <c r="I377" s="20">
        <f>F377*H377</f>
        <v>66.989999999999995</v>
      </c>
      <c r="J377" s="124">
        <f t="shared" si="41"/>
        <v>1.1E-4</v>
      </c>
      <c r="K377" s="133"/>
      <c r="L377" s="92"/>
      <c r="M377" s="136"/>
      <c r="N377" s="136"/>
      <c r="O377" s="136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</row>
    <row r="378" spans="1:45" s="32" customFormat="1" ht="25.5" x14ac:dyDescent="0.2">
      <c r="A378" s="30"/>
      <c r="B378" s="22">
        <v>98689</v>
      </c>
      <c r="C378" s="218" t="s">
        <v>790</v>
      </c>
      <c r="D378" s="76" t="s">
        <v>148</v>
      </c>
      <c r="E378" s="21" t="s">
        <v>37</v>
      </c>
      <c r="F378" s="179">
        <v>0.8</v>
      </c>
      <c r="G378" s="40">
        <v>52.28</v>
      </c>
      <c r="H378" s="40">
        <f t="shared" si="40"/>
        <v>67.47</v>
      </c>
      <c r="I378" s="20">
        <f>F378*H378</f>
        <v>53.98</v>
      </c>
      <c r="J378" s="124">
        <f t="shared" si="41"/>
        <v>9.0000000000000006E-5</v>
      </c>
      <c r="K378" s="133"/>
      <c r="L378" s="92"/>
      <c r="M378" s="136"/>
      <c r="N378" s="136"/>
      <c r="O378" s="136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</row>
    <row r="379" spans="1:45" s="32" customFormat="1" x14ac:dyDescent="0.2">
      <c r="A379" s="30"/>
      <c r="B379" s="22"/>
      <c r="C379" s="226" t="s">
        <v>242</v>
      </c>
      <c r="D379" s="84" t="s">
        <v>150</v>
      </c>
      <c r="E379" s="21"/>
      <c r="F379" s="179"/>
      <c r="G379" s="40"/>
      <c r="H379" s="40"/>
      <c r="I379" s="20"/>
      <c r="J379" s="124"/>
      <c r="K379" s="133"/>
      <c r="L379" s="92"/>
      <c r="M379" s="136"/>
      <c r="N379" s="136"/>
      <c r="O379" s="136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</row>
    <row r="380" spans="1:45" s="32" customFormat="1" ht="25.5" x14ac:dyDescent="0.2">
      <c r="A380" s="30"/>
      <c r="B380" s="22">
        <v>87879</v>
      </c>
      <c r="C380" s="218" t="s">
        <v>791</v>
      </c>
      <c r="D380" s="12" t="s">
        <v>42</v>
      </c>
      <c r="E380" s="21" t="s">
        <v>34</v>
      </c>
      <c r="F380" s="179">
        <v>40.06</v>
      </c>
      <c r="G380" s="40">
        <v>1.98</v>
      </c>
      <c r="H380" s="40">
        <f t="shared" si="40"/>
        <v>2.5499999999999998</v>
      </c>
      <c r="I380" s="20">
        <f>F380*H380</f>
        <v>102.15</v>
      </c>
      <c r="J380" s="124">
        <f>I380/$I$838</f>
        <v>1.7000000000000001E-4</v>
      </c>
      <c r="K380" s="133"/>
      <c r="L380" s="92"/>
      <c r="M380" s="136"/>
      <c r="N380" s="136"/>
      <c r="O380" s="136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</row>
    <row r="381" spans="1:45" s="32" customFormat="1" ht="51" x14ac:dyDescent="0.2">
      <c r="A381" s="30"/>
      <c r="B381" s="22">
        <v>87529</v>
      </c>
      <c r="C381" s="218" t="s">
        <v>792</v>
      </c>
      <c r="D381" s="12" t="s">
        <v>154</v>
      </c>
      <c r="E381" s="19" t="s">
        <v>34</v>
      </c>
      <c r="F381" s="179">
        <v>40.06</v>
      </c>
      <c r="G381" s="40">
        <v>16.82</v>
      </c>
      <c r="H381" s="40">
        <f t="shared" si="40"/>
        <v>21.7</v>
      </c>
      <c r="I381" s="20">
        <f>F381*H381</f>
        <v>869.3</v>
      </c>
      <c r="J381" s="124">
        <f>I381/$I$838</f>
        <v>1.4499999999999999E-3</v>
      </c>
      <c r="K381" s="133"/>
      <c r="L381" s="92"/>
      <c r="M381" s="136"/>
      <c r="N381" s="136"/>
      <c r="O381" s="136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</row>
    <row r="382" spans="1:45" s="32" customFormat="1" ht="25.5" x14ac:dyDescent="0.2">
      <c r="A382" s="30"/>
      <c r="B382" s="22">
        <v>88485</v>
      </c>
      <c r="C382" s="218" t="s">
        <v>793</v>
      </c>
      <c r="D382" s="76" t="s">
        <v>155</v>
      </c>
      <c r="E382" s="21" t="s">
        <v>34</v>
      </c>
      <c r="F382" s="179">
        <v>40.06</v>
      </c>
      <c r="G382" s="40">
        <v>1.18</v>
      </c>
      <c r="H382" s="40">
        <f t="shared" si="40"/>
        <v>1.52</v>
      </c>
      <c r="I382" s="20">
        <f>F382*H382</f>
        <v>60.89</v>
      </c>
      <c r="J382" s="124">
        <f>I382/$I$838</f>
        <v>1E-4</v>
      </c>
      <c r="K382" s="133"/>
      <c r="L382" s="92"/>
      <c r="M382" s="136"/>
      <c r="N382" s="136"/>
      <c r="O382" s="136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</row>
    <row r="383" spans="1:45" s="32" customFormat="1" ht="25.5" x14ac:dyDescent="0.2">
      <c r="A383" s="30"/>
      <c r="B383" s="22">
        <v>88497</v>
      </c>
      <c r="C383" s="218" t="s">
        <v>794</v>
      </c>
      <c r="D383" s="76" t="s">
        <v>102</v>
      </c>
      <c r="E383" s="21" t="s">
        <v>34</v>
      </c>
      <c r="F383" s="179">
        <v>40.06</v>
      </c>
      <c r="G383" s="40">
        <v>7.81</v>
      </c>
      <c r="H383" s="40">
        <f t="shared" si="40"/>
        <v>10.08</v>
      </c>
      <c r="I383" s="20">
        <f>F383*H383</f>
        <v>403.8</v>
      </c>
      <c r="J383" s="124">
        <f>I383/$I$838</f>
        <v>6.8000000000000005E-4</v>
      </c>
      <c r="K383" s="133"/>
      <c r="L383" s="92"/>
      <c r="M383" s="136"/>
      <c r="N383" s="136"/>
      <c r="O383" s="136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</row>
    <row r="384" spans="1:45" s="32" customFormat="1" ht="25.5" x14ac:dyDescent="0.2">
      <c r="A384" s="30"/>
      <c r="B384" s="22">
        <v>88489</v>
      </c>
      <c r="C384" s="218" t="s">
        <v>795</v>
      </c>
      <c r="D384" s="13" t="s">
        <v>43</v>
      </c>
      <c r="E384" s="21" t="s">
        <v>34</v>
      </c>
      <c r="F384" s="179">
        <v>40.06</v>
      </c>
      <c r="G384" s="40">
        <v>7.37</v>
      </c>
      <c r="H384" s="40">
        <f t="shared" si="40"/>
        <v>9.51</v>
      </c>
      <c r="I384" s="20">
        <f>F384*H384</f>
        <v>380.97</v>
      </c>
      <c r="J384" s="124">
        <f>I384/$I$838</f>
        <v>6.4000000000000005E-4</v>
      </c>
      <c r="K384" s="133"/>
      <c r="L384" s="92"/>
      <c r="M384" s="136"/>
      <c r="N384" s="136"/>
      <c r="O384" s="136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</row>
    <row r="385" spans="1:45" s="32" customFormat="1" x14ac:dyDescent="0.2">
      <c r="A385" s="30"/>
      <c r="B385" s="22"/>
      <c r="C385" s="226" t="s">
        <v>243</v>
      </c>
      <c r="D385" s="84" t="s">
        <v>165</v>
      </c>
      <c r="E385" s="38"/>
      <c r="F385" s="179"/>
      <c r="G385" s="40"/>
      <c r="H385" s="40"/>
      <c r="I385" s="20"/>
      <c r="J385" s="124"/>
      <c r="K385" s="133"/>
      <c r="L385" s="92"/>
      <c r="M385" s="136"/>
      <c r="N385" s="136"/>
      <c r="O385" s="136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</row>
    <row r="386" spans="1:45" s="32" customFormat="1" ht="63.75" x14ac:dyDescent="0.2">
      <c r="A386" s="30"/>
      <c r="B386" s="22">
        <v>96485</v>
      </c>
      <c r="C386" s="218" t="s">
        <v>796</v>
      </c>
      <c r="D386" s="13" t="s">
        <v>226</v>
      </c>
      <c r="E386" s="21" t="s">
        <v>34</v>
      </c>
      <c r="F386" s="179">
        <v>9.7200000000000006</v>
      </c>
      <c r="G386" s="40">
        <v>46.55</v>
      </c>
      <c r="H386" s="40">
        <f t="shared" si="40"/>
        <v>60.08</v>
      </c>
      <c r="I386" s="20">
        <f>F386*H386</f>
        <v>583.98</v>
      </c>
      <c r="J386" s="124">
        <f>I386/$I$838</f>
        <v>9.7999999999999997E-4</v>
      </c>
      <c r="K386" s="133"/>
      <c r="L386" s="92"/>
      <c r="M386" s="136"/>
      <c r="N386" s="136"/>
      <c r="O386" s="136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</row>
    <row r="387" spans="1:45" s="32" customFormat="1" ht="25.5" x14ac:dyDescent="0.2">
      <c r="A387" s="30"/>
      <c r="B387" s="22">
        <v>96121</v>
      </c>
      <c r="C387" s="218" t="s">
        <v>797</v>
      </c>
      <c r="D387" s="13" t="s">
        <v>227</v>
      </c>
      <c r="E387" s="21" t="s">
        <v>37</v>
      </c>
      <c r="F387" s="179">
        <v>14.74</v>
      </c>
      <c r="G387" s="40">
        <v>7.03</v>
      </c>
      <c r="H387" s="40">
        <f t="shared" si="40"/>
        <v>9.07</v>
      </c>
      <c r="I387" s="20">
        <f>F387*H387</f>
        <v>133.69</v>
      </c>
      <c r="J387" s="124">
        <f>I387/$I$838</f>
        <v>2.2000000000000001E-4</v>
      </c>
      <c r="K387" s="133"/>
      <c r="L387" s="92"/>
      <c r="M387" s="136"/>
      <c r="N387" s="136"/>
      <c r="O387" s="136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</row>
    <row r="388" spans="1:45" s="32" customFormat="1" x14ac:dyDescent="0.2">
      <c r="A388" s="30"/>
      <c r="B388" s="22"/>
      <c r="C388" s="226" t="s">
        <v>244</v>
      </c>
      <c r="D388" s="86" t="s">
        <v>153</v>
      </c>
      <c r="E388" s="21"/>
      <c r="F388" s="179"/>
      <c r="G388" s="40"/>
      <c r="H388" s="40"/>
      <c r="I388" s="20"/>
      <c r="J388" s="124"/>
      <c r="K388" s="133"/>
      <c r="L388" s="92"/>
      <c r="M388" s="136"/>
      <c r="N388" s="136"/>
      <c r="O388" s="136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</row>
    <row r="389" spans="1:45" s="32" customFormat="1" ht="25.5" x14ac:dyDescent="0.2">
      <c r="A389" s="30"/>
      <c r="B389" s="22">
        <v>98689</v>
      </c>
      <c r="C389" s="218" t="s">
        <v>798</v>
      </c>
      <c r="D389" s="76" t="s">
        <v>159</v>
      </c>
      <c r="E389" s="21" t="s">
        <v>37</v>
      </c>
      <c r="F389" s="179">
        <v>1.5</v>
      </c>
      <c r="G389" s="40">
        <v>52.28</v>
      </c>
      <c r="H389" s="40">
        <f t="shared" si="40"/>
        <v>67.47</v>
      </c>
      <c r="I389" s="20">
        <f>F389*H389</f>
        <v>101.21</v>
      </c>
      <c r="J389" s="124">
        <f>I389/$I$838</f>
        <v>1.7000000000000001E-4</v>
      </c>
      <c r="K389" s="133"/>
      <c r="L389" s="92"/>
      <c r="M389" s="136"/>
      <c r="N389" s="136"/>
      <c r="O389" s="136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</row>
    <row r="390" spans="1:45" s="32" customFormat="1" ht="89.25" x14ac:dyDescent="0.2">
      <c r="A390" s="30"/>
      <c r="B390" s="22" t="s">
        <v>1253</v>
      </c>
      <c r="C390" s="218" t="s">
        <v>799</v>
      </c>
      <c r="D390" s="13" t="s">
        <v>1256</v>
      </c>
      <c r="E390" s="21" t="s">
        <v>35</v>
      </c>
      <c r="F390" s="179">
        <v>1</v>
      </c>
      <c r="G390" s="40">
        <v>517.25</v>
      </c>
      <c r="H390" s="40">
        <f t="shared" si="40"/>
        <v>667.61</v>
      </c>
      <c r="I390" s="20">
        <f>F390*H390</f>
        <v>667.61</v>
      </c>
      <c r="J390" s="124">
        <f>I390/$I$838</f>
        <v>1.1199999999999999E-3</v>
      </c>
      <c r="K390" s="133"/>
      <c r="L390" s="92"/>
      <c r="M390" s="136"/>
      <c r="N390" s="136"/>
      <c r="O390" s="136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</row>
    <row r="391" spans="1:45" s="32" customFormat="1" ht="38.25" x14ac:dyDescent="0.2">
      <c r="A391" s="30"/>
      <c r="B391" s="22">
        <v>91306</v>
      </c>
      <c r="C391" s="218" t="s">
        <v>800</v>
      </c>
      <c r="D391" s="13" t="s">
        <v>1260</v>
      </c>
      <c r="E391" s="21" t="s">
        <v>35</v>
      </c>
      <c r="F391" s="179">
        <f>F390</f>
        <v>1</v>
      </c>
      <c r="G391" s="40">
        <v>79.69</v>
      </c>
      <c r="H391" s="40">
        <f t="shared" si="40"/>
        <v>102.85</v>
      </c>
      <c r="I391" s="20">
        <f>F391*H391</f>
        <v>102.85</v>
      </c>
      <c r="J391" s="124">
        <f>I391/$I$838</f>
        <v>1.7000000000000001E-4</v>
      </c>
      <c r="K391" s="133"/>
      <c r="L391" s="92"/>
      <c r="M391" s="136"/>
      <c r="N391" s="136"/>
      <c r="O391" s="136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</row>
    <row r="392" spans="1:45" s="32" customFormat="1" ht="38.25" x14ac:dyDescent="0.2">
      <c r="A392" s="30"/>
      <c r="B392" s="22" t="s">
        <v>121</v>
      </c>
      <c r="C392" s="218" t="s">
        <v>1266</v>
      </c>
      <c r="D392" s="13" t="s">
        <v>245</v>
      </c>
      <c r="E392" s="21" t="s">
        <v>35</v>
      </c>
      <c r="F392" s="179">
        <v>1</v>
      </c>
      <c r="G392" s="40">
        <v>551.44000000000005</v>
      </c>
      <c r="H392" s="40">
        <f t="shared" si="40"/>
        <v>711.74</v>
      </c>
      <c r="I392" s="20">
        <f>F392*H392</f>
        <v>711.74</v>
      </c>
      <c r="J392" s="124">
        <f>I392/$I$838</f>
        <v>1.1900000000000001E-3</v>
      </c>
      <c r="K392" s="133"/>
      <c r="L392" s="92"/>
      <c r="M392" s="136"/>
      <c r="N392" s="136"/>
      <c r="O392" s="136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</row>
    <row r="393" spans="1:45" s="32" customFormat="1" x14ac:dyDescent="0.2">
      <c r="A393" s="30"/>
      <c r="B393" s="22"/>
      <c r="C393" s="247"/>
      <c r="D393" s="316" t="s">
        <v>203</v>
      </c>
      <c r="E393" s="316"/>
      <c r="F393" s="316"/>
      <c r="G393" s="316"/>
      <c r="H393" s="317"/>
      <c r="I393" s="109">
        <f>SUM(I371:I392)</f>
        <v>4848.2700000000004</v>
      </c>
      <c r="J393" s="124"/>
      <c r="K393" s="133"/>
      <c r="L393" s="92"/>
      <c r="M393" s="136"/>
      <c r="N393" s="136"/>
      <c r="O393" s="136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</row>
    <row r="394" spans="1:45" s="32" customFormat="1" x14ac:dyDescent="0.2">
      <c r="A394" s="30"/>
      <c r="B394" s="22"/>
      <c r="C394" s="229" t="s">
        <v>204</v>
      </c>
      <c r="D394" s="128" t="s">
        <v>105</v>
      </c>
      <c r="E394" s="56"/>
      <c r="F394" s="180"/>
      <c r="G394" s="57"/>
      <c r="H394" s="57"/>
      <c r="I394" s="58"/>
      <c r="J394" s="124"/>
      <c r="K394" s="133"/>
      <c r="L394" s="92"/>
      <c r="M394" s="136"/>
      <c r="N394" s="136"/>
      <c r="O394" s="136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</row>
    <row r="395" spans="1:45" s="32" customFormat="1" x14ac:dyDescent="0.2">
      <c r="A395" s="30"/>
      <c r="B395" s="22"/>
      <c r="C395" s="226" t="s">
        <v>246</v>
      </c>
      <c r="D395" s="84" t="s">
        <v>147</v>
      </c>
      <c r="E395" s="21"/>
      <c r="F395" s="181"/>
      <c r="G395" s="40"/>
      <c r="H395" s="40"/>
      <c r="I395" s="20"/>
      <c r="J395" s="124"/>
      <c r="K395" s="133"/>
      <c r="L395" s="92"/>
      <c r="M395" s="136"/>
      <c r="N395" s="136"/>
      <c r="O395" s="136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</row>
    <row r="396" spans="1:45" s="32" customFormat="1" ht="38.25" x14ac:dyDescent="0.2">
      <c r="A396" s="30"/>
      <c r="B396" s="22">
        <v>94319</v>
      </c>
      <c r="C396" s="218" t="s">
        <v>801</v>
      </c>
      <c r="D396" s="217" t="s">
        <v>356</v>
      </c>
      <c r="E396" s="21" t="s">
        <v>36</v>
      </c>
      <c r="F396" s="179">
        <v>1.84</v>
      </c>
      <c r="G396" s="40">
        <v>21.94</v>
      </c>
      <c r="H396" s="40">
        <f t="shared" ref="H396:H429" si="42">TRUNC((G396*(1+$I$6)),2)</f>
        <v>28.31</v>
      </c>
      <c r="I396" s="20">
        <f>F396*H396</f>
        <v>52.09</v>
      </c>
      <c r="J396" s="124">
        <f t="shared" ref="J396:J401" si="43">I396/$I$838</f>
        <v>9.0000000000000006E-5</v>
      </c>
      <c r="K396" s="133"/>
      <c r="L396" s="92"/>
      <c r="M396" s="136"/>
      <c r="N396" s="136"/>
      <c r="O396" s="136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</row>
    <row r="397" spans="1:45" s="32" customFormat="1" ht="25.5" x14ac:dyDescent="0.2">
      <c r="A397" s="30"/>
      <c r="B397" s="22">
        <v>96624</v>
      </c>
      <c r="C397" s="218" t="s">
        <v>802</v>
      </c>
      <c r="D397" s="12" t="s">
        <v>38</v>
      </c>
      <c r="E397" s="21" t="s">
        <v>36</v>
      </c>
      <c r="F397" s="179">
        <v>0.61</v>
      </c>
      <c r="G397" s="40">
        <v>63.2</v>
      </c>
      <c r="H397" s="40">
        <f t="shared" si="42"/>
        <v>81.569999999999993</v>
      </c>
      <c r="I397" s="20">
        <f>F397*H397</f>
        <v>49.76</v>
      </c>
      <c r="J397" s="124">
        <f t="shared" si="43"/>
        <v>8.0000000000000007E-5</v>
      </c>
      <c r="K397" s="133"/>
      <c r="L397" s="92"/>
      <c r="M397" s="136"/>
      <c r="N397" s="136"/>
      <c r="O397" s="136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</row>
    <row r="398" spans="1:45" s="32" customFormat="1" ht="25.5" x14ac:dyDescent="0.2">
      <c r="A398" s="30"/>
      <c r="B398" s="22" t="s">
        <v>1226</v>
      </c>
      <c r="C398" s="218" t="s">
        <v>803</v>
      </c>
      <c r="D398" s="13" t="s">
        <v>63</v>
      </c>
      <c r="E398" s="21" t="s">
        <v>34</v>
      </c>
      <c r="F398" s="179">
        <v>12.27</v>
      </c>
      <c r="G398" s="40">
        <v>3.2</v>
      </c>
      <c r="H398" s="40">
        <f t="shared" si="42"/>
        <v>4.13</v>
      </c>
      <c r="I398" s="20">
        <f>F398*H398</f>
        <v>50.68</v>
      </c>
      <c r="J398" s="124">
        <f t="shared" si="43"/>
        <v>8.0000000000000007E-5</v>
      </c>
      <c r="K398" s="133"/>
      <c r="L398" s="92"/>
      <c r="M398" s="136"/>
      <c r="N398" s="136"/>
      <c r="O398" s="136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</row>
    <row r="399" spans="1:45" s="32" customFormat="1" ht="38.25" x14ac:dyDescent="0.2">
      <c r="A399" s="30"/>
      <c r="B399" s="22">
        <v>94991</v>
      </c>
      <c r="C399" s="218" t="s">
        <v>804</v>
      </c>
      <c r="D399" s="13" t="s">
        <v>222</v>
      </c>
      <c r="E399" s="21" t="s">
        <v>36</v>
      </c>
      <c r="F399" s="181">
        <v>0.61</v>
      </c>
      <c r="G399" s="40">
        <v>326.01</v>
      </c>
      <c r="H399" s="40">
        <f t="shared" si="42"/>
        <v>420.78</v>
      </c>
      <c r="I399" s="20">
        <f>F399*H399</f>
        <v>256.68</v>
      </c>
      <c r="J399" s="124">
        <f t="shared" si="43"/>
        <v>4.2999999999999999E-4</v>
      </c>
      <c r="K399" s="133"/>
      <c r="L399" s="92"/>
      <c r="M399" s="136"/>
      <c r="N399" s="136"/>
      <c r="O399" s="136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</row>
    <row r="400" spans="1:45" s="32" customFormat="1" ht="51" x14ac:dyDescent="0.2">
      <c r="A400" s="30"/>
      <c r="B400" s="22">
        <v>87251</v>
      </c>
      <c r="C400" s="218" t="s">
        <v>805</v>
      </c>
      <c r="D400" s="11" t="s">
        <v>1209</v>
      </c>
      <c r="E400" s="21" t="s">
        <v>34</v>
      </c>
      <c r="F400" s="179">
        <v>12.27</v>
      </c>
      <c r="G400" s="40">
        <v>22.44</v>
      </c>
      <c r="H400" s="40">
        <f t="shared" si="42"/>
        <v>28.96</v>
      </c>
      <c r="I400" s="20">
        <f>F400*H400</f>
        <v>355.34</v>
      </c>
      <c r="J400" s="124">
        <f t="shared" si="43"/>
        <v>5.9000000000000003E-4</v>
      </c>
      <c r="K400" s="133"/>
      <c r="L400" s="92"/>
      <c r="M400" s="136"/>
      <c r="N400" s="136"/>
      <c r="O400" s="136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</row>
    <row r="401" spans="1:45" s="32" customFormat="1" ht="25.5" x14ac:dyDescent="0.2">
      <c r="A401" s="30"/>
      <c r="B401" s="22">
        <v>98689</v>
      </c>
      <c r="C401" s="218" t="s">
        <v>806</v>
      </c>
      <c r="D401" s="76" t="s">
        <v>148</v>
      </c>
      <c r="E401" s="21" t="s">
        <v>37</v>
      </c>
      <c r="F401" s="179">
        <v>0.8</v>
      </c>
      <c r="G401" s="40">
        <v>52.28</v>
      </c>
      <c r="H401" s="40">
        <f t="shared" si="42"/>
        <v>67.47</v>
      </c>
      <c r="I401" s="20">
        <f>F401*H401</f>
        <v>53.98</v>
      </c>
      <c r="J401" s="124">
        <f t="shared" si="43"/>
        <v>9.0000000000000006E-5</v>
      </c>
      <c r="K401" s="133"/>
      <c r="L401" s="92"/>
      <c r="M401" s="136"/>
      <c r="N401" s="136"/>
      <c r="O401" s="136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</row>
    <row r="402" spans="1:45" s="32" customFormat="1" x14ac:dyDescent="0.2">
      <c r="A402" s="30"/>
      <c r="B402" s="22"/>
      <c r="C402" s="226" t="s">
        <v>247</v>
      </c>
      <c r="D402" s="84" t="s">
        <v>150</v>
      </c>
      <c r="E402" s="85"/>
      <c r="F402" s="181"/>
      <c r="G402" s="40"/>
      <c r="H402" s="40"/>
      <c r="I402" s="20"/>
      <c r="J402" s="124"/>
      <c r="K402" s="133"/>
      <c r="L402" s="92"/>
      <c r="M402" s="136"/>
      <c r="N402" s="136"/>
      <c r="O402" s="136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</row>
    <row r="403" spans="1:45" s="32" customFormat="1" ht="51" x14ac:dyDescent="0.2">
      <c r="A403" s="30"/>
      <c r="B403" s="22">
        <v>87508</v>
      </c>
      <c r="C403" s="218" t="s">
        <v>807</v>
      </c>
      <c r="D403" s="12" t="s">
        <v>253</v>
      </c>
      <c r="E403" s="19" t="s">
        <v>34</v>
      </c>
      <c r="F403" s="179">
        <v>0.42</v>
      </c>
      <c r="G403" s="40">
        <v>48.51</v>
      </c>
      <c r="H403" s="40">
        <f t="shared" si="42"/>
        <v>62.61</v>
      </c>
      <c r="I403" s="20">
        <f>F403*H403</f>
        <v>26.3</v>
      </c>
      <c r="J403" s="124">
        <f>I403/$I$838</f>
        <v>4.0000000000000003E-5</v>
      </c>
      <c r="K403" s="133"/>
      <c r="L403" s="92"/>
      <c r="M403" s="136"/>
      <c r="N403" s="136"/>
      <c r="O403" s="136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</row>
    <row r="404" spans="1:45" s="32" customFormat="1" ht="25.5" x14ac:dyDescent="0.2">
      <c r="A404" s="30"/>
      <c r="B404" s="22">
        <v>87879</v>
      </c>
      <c r="C404" s="218" t="s">
        <v>810</v>
      </c>
      <c r="D404" s="12" t="s">
        <v>42</v>
      </c>
      <c r="E404" s="21" t="s">
        <v>34</v>
      </c>
      <c r="F404" s="179">
        <v>48.14</v>
      </c>
      <c r="G404" s="40">
        <v>1.98</v>
      </c>
      <c r="H404" s="40">
        <f t="shared" si="42"/>
        <v>2.5499999999999998</v>
      </c>
      <c r="I404" s="20">
        <f>F404*H404</f>
        <v>122.76</v>
      </c>
      <c r="J404" s="124">
        <f>I404/$I$838</f>
        <v>2.1000000000000001E-4</v>
      </c>
      <c r="K404" s="133"/>
      <c r="L404" s="92"/>
      <c r="M404" s="136"/>
      <c r="N404" s="136"/>
      <c r="O404" s="136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</row>
    <row r="405" spans="1:45" s="32" customFormat="1" ht="51" x14ac:dyDescent="0.2">
      <c r="A405" s="30"/>
      <c r="B405" s="22">
        <v>87529</v>
      </c>
      <c r="C405" s="218" t="s">
        <v>808</v>
      </c>
      <c r="D405" s="12" t="s">
        <v>154</v>
      </c>
      <c r="E405" s="19" t="s">
        <v>34</v>
      </c>
      <c r="F405" s="179">
        <v>48.14</v>
      </c>
      <c r="G405" s="40">
        <v>16.82</v>
      </c>
      <c r="H405" s="40">
        <f t="shared" si="42"/>
        <v>21.7</v>
      </c>
      <c r="I405" s="20">
        <f>F405*H405</f>
        <v>1044.6400000000001</v>
      </c>
      <c r="J405" s="124">
        <f>I405/$I$838</f>
        <v>1.75E-3</v>
      </c>
      <c r="K405" s="133"/>
      <c r="L405" s="92"/>
      <c r="M405" s="136"/>
      <c r="N405" s="136"/>
      <c r="O405" s="136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</row>
    <row r="406" spans="1:45" s="32" customFormat="1" ht="51" x14ac:dyDescent="0.2">
      <c r="A406" s="30"/>
      <c r="B406" s="22">
        <v>87273</v>
      </c>
      <c r="C406" s="218" t="s">
        <v>809</v>
      </c>
      <c r="D406" s="12" t="s">
        <v>168</v>
      </c>
      <c r="E406" s="19" t="s">
        <v>34</v>
      </c>
      <c r="F406" s="179">
        <v>48.14</v>
      </c>
      <c r="G406" s="40">
        <v>35.94</v>
      </c>
      <c r="H406" s="40">
        <f t="shared" si="42"/>
        <v>46.38</v>
      </c>
      <c r="I406" s="20">
        <f>F406*H406</f>
        <v>2232.73</v>
      </c>
      <c r="J406" s="124">
        <f>I406/$I$838</f>
        <v>3.7299999999999998E-3</v>
      </c>
      <c r="K406" s="133"/>
      <c r="L406" s="92"/>
      <c r="M406" s="136"/>
      <c r="N406" s="136"/>
      <c r="O406" s="136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</row>
    <row r="407" spans="1:45" s="32" customFormat="1" x14ac:dyDescent="0.2">
      <c r="A407" s="30"/>
      <c r="B407" s="22"/>
      <c r="C407" s="226" t="s">
        <v>248</v>
      </c>
      <c r="D407" s="84" t="s">
        <v>165</v>
      </c>
      <c r="E407" s="21"/>
      <c r="F407" s="179"/>
      <c r="G407" s="40"/>
      <c r="H407" s="40"/>
      <c r="I407" s="20"/>
      <c r="J407" s="124"/>
      <c r="K407" s="133"/>
      <c r="L407" s="92"/>
      <c r="M407" s="136"/>
      <c r="N407" s="136"/>
      <c r="O407" s="136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</row>
    <row r="408" spans="1:45" s="32" customFormat="1" ht="38.25" x14ac:dyDescent="0.2">
      <c r="A408" s="30"/>
      <c r="B408" s="22">
        <v>87887</v>
      </c>
      <c r="C408" s="218" t="s">
        <v>811</v>
      </c>
      <c r="D408" s="12" t="s">
        <v>255</v>
      </c>
      <c r="E408" s="21" t="s">
        <v>34</v>
      </c>
      <c r="F408" s="179">
        <v>12.27</v>
      </c>
      <c r="G408" s="40">
        <v>9.01</v>
      </c>
      <c r="H408" s="40">
        <f t="shared" si="42"/>
        <v>11.62</v>
      </c>
      <c r="I408" s="20">
        <f>F408*H408</f>
        <v>142.58000000000001</v>
      </c>
      <c r="J408" s="124">
        <f>I408/$I$838</f>
        <v>2.4000000000000001E-4</v>
      </c>
      <c r="K408" s="133"/>
      <c r="L408" s="92"/>
      <c r="M408" s="136"/>
      <c r="N408" s="136"/>
      <c r="O408" s="136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</row>
    <row r="409" spans="1:45" s="32" customFormat="1" ht="51" x14ac:dyDescent="0.2">
      <c r="A409" s="30"/>
      <c r="B409" s="22">
        <v>90406</v>
      </c>
      <c r="C409" s="218" t="s">
        <v>812</v>
      </c>
      <c r="D409" s="12" t="s">
        <v>254</v>
      </c>
      <c r="E409" s="21" t="s">
        <v>34</v>
      </c>
      <c r="F409" s="179">
        <v>12.27</v>
      </c>
      <c r="G409" s="40">
        <v>22.06</v>
      </c>
      <c r="H409" s="40">
        <f t="shared" si="42"/>
        <v>28.47</v>
      </c>
      <c r="I409" s="20">
        <f>F409*H409</f>
        <v>349.33</v>
      </c>
      <c r="J409" s="124">
        <f>I409/$I$838</f>
        <v>5.8E-4</v>
      </c>
      <c r="K409" s="133"/>
      <c r="L409" s="92"/>
      <c r="M409" s="136"/>
      <c r="N409" s="136"/>
      <c r="O409" s="136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</row>
    <row r="410" spans="1:45" s="32" customFormat="1" ht="25.5" x14ac:dyDescent="0.2">
      <c r="A410" s="30"/>
      <c r="B410" s="22">
        <v>88484</v>
      </c>
      <c r="C410" s="218" t="s">
        <v>813</v>
      </c>
      <c r="D410" s="76" t="s">
        <v>156</v>
      </c>
      <c r="E410" s="21" t="s">
        <v>34</v>
      </c>
      <c r="F410" s="179">
        <v>12.27</v>
      </c>
      <c r="G410" s="40">
        <v>1.39</v>
      </c>
      <c r="H410" s="40">
        <f t="shared" si="42"/>
        <v>1.79</v>
      </c>
      <c r="I410" s="20">
        <f>F410*H410</f>
        <v>21.96</v>
      </c>
      <c r="J410" s="124">
        <f>I410/$I$838</f>
        <v>4.0000000000000003E-5</v>
      </c>
      <c r="K410" s="133"/>
      <c r="L410" s="92"/>
      <c r="M410" s="136"/>
      <c r="N410" s="136"/>
      <c r="O410" s="136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</row>
    <row r="411" spans="1:45" s="32" customFormat="1" ht="25.5" x14ac:dyDescent="0.2">
      <c r="A411" s="30"/>
      <c r="B411" s="22">
        <v>88494</v>
      </c>
      <c r="C411" s="218" t="s">
        <v>814</v>
      </c>
      <c r="D411" s="76" t="s">
        <v>158</v>
      </c>
      <c r="E411" s="21" t="s">
        <v>34</v>
      </c>
      <c r="F411" s="179">
        <v>12.27</v>
      </c>
      <c r="G411" s="40">
        <v>10.24</v>
      </c>
      <c r="H411" s="40">
        <f t="shared" si="42"/>
        <v>13.21</v>
      </c>
      <c r="I411" s="20">
        <f>F411*H411</f>
        <v>162.09</v>
      </c>
      <c r="J411" s="124">
        <f>I411/$I$838</f>
        <v>2.7E-4</v>
      </c>
      <c r="K411" s="133"/>
      <c r="L411" s="92"/>
      <c r="M411" s="136"/>
      <c r="N411" s="136"/>
      <c r="O411" s="136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</row>
    <row r="412" spans="1:45" s="32" customFormat="1" ht="25.5" x14ac:dyDescent="0.2">
      <c r="A412" s="30"/>
      <c r="B412" s="22">
        <v>88488</v>
      </c>
      <c r="C412" s="218" t="s">
        <v>815</v>
      </c>
      <c r="D412" s="13" t="s">
        <v>157</v>
      </c>
      <c r="E412" s="21" t="s">
        <v>34</v>
      </c>
      <c r="F412" s="179">
        <v>12.27</v>
      </c>
      <c r="G412" s="40">
        <v>8.32</v>
      </c>
      <c r="H412" s="40">
        <f t="shared" si="42"/>
        <v>10.73</v>
      </c>
      <c r="I412" s="20">
        <f>F412*H412</f>
        <v>131.66</v>
      </c>
      <c r="J412" s="124">
        <f>I412/$I$838</f>
        <v>2.2000000000000001E-4</v>
      </c>
      <c r="K412" s="133"/>
      <c r="L412" s="92"/>
      <c r="M412" s="136"/>
      <c r="N412" s="136"/>
      <c r="O412" s="136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</row>
    <row r="413" spans="1:45" s="32" customFormat="1" x14ac:dyDescent="0.2">
      <c r="A413" s="30"/>
      <c r="B413" s="22"/>
      <c r="C413" s="226" t="s">
        <v>249</v>
      </c>
      <c r="D413" s="86" t="s">
        <v>153</v>
      </c>
      <c r="E413" s="21"/>
      <c r="F413" s="179"/>
      <c r="G413" s="40"/>
      <c r="H413" s="40"/>
      <c r="I413" s="20"/>
      <c r="J413" s="124"/>
      <c r="K413" s="133"/>
      <c r="L413" s="92"/>
      <c r="M413" s="136"/>
      <c r="N413" s="136"/>
      <c r="O413" s="136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</row>
    <row r="414" spans="1:45" s="32" customFormat="1" ht="25.5" x14ac:dyDescent="0.2">
      <c r="A414" s="30"/>
      <c r="B414" s="22">
        <v>98689</v>
      </c>
      <c r="C414" s="218" t="s">
        <v>816</v>
      </c>
      <c r="D414" s="76" t="s">
        <v>159</v>
      </c>
      <c r="E414" s="21" t="s">
        <v>37</v>
      </c>
      <c r="F414" s="179">
        <v>1.5</v>
      </c>
      <c r="G414" s="40">
        <v>52.28</v>
      </c>
      <c r="H414" s="40">
        <f t="shared" si="42"/>
        <v>67.47</v>
      </c>
      <c r="I414" s="20">
        <f>F414*H414</f>
        <v>101.21</v>
      </c>
      <c r="J414" s="124">
        <f>I414/$I$838</f>
        <v>1.7000000000000001E-4</v>
      </c>
      <c r="K414" s="133"/>
      <c r="L414" s="92"/>
      <c r="M414" s="136"/>
      <c r="N414" s="136"/>
      <c r="O414" s="136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</row>
    <row r="415" spans="1:45" s="32" customFormat="1" ht="25.5" x14ac:dyDescent="0.2">
      <c r="A415" s="30"/>
      <c r="B415" s="105">
        <v>91341</v>
      </c>
      <c r="C415" s="218" t="s">
        <v>817</v>
      </c>
      <c r="D415" s="76" t="s">
        <v>258</v>
      </c>
      <c r="E415" s="21" t="s">
        <v>34</v>
      </c>
      <c r="F415" s="179">
        <v>1.68</v>
      </c>
      <c r="G415" s="40">
        <v>517.35</v>
      </c>
      <c r="H415" s="40">
        <f t="shared" si="42"/>
        <v>667.74</v>
      </c>
      <c r="I415" s="20">
        <f>F415*H415</f>
        <v>1121.8</v>
      </c>
      <c r="J415" s="124">
        <f>I415/$I$838</f>
        <v>1.8799999999999999E-3</v>
      </c>
      <c r="K415" s="133"/>
      <c r="L415" s="92"/>
      <c r="M415" s="136"/>
      <c r="N415" s="136"/>
      <c r="O415" s="136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</row>
    <row r="416" spans="1:45" s="32" customFormat="1" ht="38.25" x14ac:dyDescent="0.2">
      <c r="A416" s="30"/>
      <c r="B416" s="22" t="s">
        <v>121</v>
      </c>
      <c r="C416" s="218" t="s">
        <v>818</v>
      </c>
      <c r="D416" s="13" t="s">
        <v>256</v>
      </c>
      <c r="E416" s="21" t="s">
        <v>35</v>
      </c>
      <c r="F416" s="179">
        <v>1</v>
      </c>
      <c r="G416" s="40">
        <v>551.44000000000005</v>
      </c>
      <c r="H416" s="40">
        <f t="shared" si="42"/>
        <v>711.74</v>
      </c>
      <c r="I416" s="20">
        <f>F416*H416</f>
        <v>711.74</v>
      </c>
      <c r="J416" s="124">
        <f>I416/$I$838</f>
        <v>1.1900000000000001E-3</v>
      </c>
      <c r="K416" s="133"/>
      <c r="L416" s="92"/>
      <c r="M416" s="136"/>
      <c r="N416" s="136"/>
      <c r="O416" s="136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</row>
    <row r="417" spans="1:45" s="32" customFormat="1" x14ac:dyDescent="0.2">
      <c r="A417" s="30"/>
      <c r="B417" s="22"/>
      <c r="C417" s="227" t="s">
        <v>250</v>
      </c>
      <c r="D417" s="84" t="s">
        <v>251</v>
      </c>
      <c r="E417" s="21"/>
      <c r="F417" s="179"/>
      <c r="G417" s="40"/>
      <c r="H417" s="40"/>
      <c r="I417" s="20"/>
      <c r="J417" s="124"/>
      <c r="K417" s="133"/>
      <c r="L417" s="92"/>
      <c r="M417" s="136"/>
      <c r="N417" s="136"/>
      <c r="O417" s="136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</row>
    <row r="418" spans="1:45" s="32" customFormat="1" ht="51" x14ac:dyDescent="0.2">
      <c r="A418" s="30"/>
      <c r="B418" s="22">
        <v>102253</v>
      </c>
      <c r="C418" s="218" t="s">
        <v>819</v>
      </c>
      <c r="D418" s="12" t="s">
        <v>257</v>
      </c>
      <c r="E418" s="21" t="s">
        <v>34</v>
      </c>
      <c r="F418" s="179">
        <v>6.78</v>
      </c>
      <c r="G418" s="40">
        <v>399.81</v>
      </c>
      <c r="H418" s="40">
        <f t="shared" si="42"/>
        <v>516.03</v>
      </c>
      <c r="I418" s="20">
        <f>F418*H418</f>
        <v>3498.68</v>
      </c>
      <c r="J418" s="124">
        <f>I418/$I$838</f>
        <v>5.8500000000000002E-3</v>
      </c>
      <c r="K418" s="133"/>
      <c r="L418" s="92"/>
      <c r="M418" s="136"/>
      <c r="N418" s="136"/>
      <c r="O418" s="136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</row>
    <row r="419" spans="1:45" s="32" customFormat="1" ht="25.5" x14ac:dyDescent="0.2">
      <c r="A419" s="30"/>
      <c r="B419" s="105">
        <v>91341</v>
      </c>
      <c r="C419" s="218" t="s">
        <v>820</v>
      </c>
      <c r="D419" s="76" t="s">
        <v>259</v>
      </c>
      <c r="E419" s="21" t="s">
        <v>34</v>
      </c>
      <c r="F419" s="179">
        <v>1.62</v>
      </c>
      <c r="G419" s="40">
        <v>517.35</v>
      </c>
      <c r="H419" s="40">
        <f t="shared" si="42"/>
        <v>667.74</v>
      </c>
      <c r="I419" s="20">
        <f>F419*H419</f>
        <v>1081.74</v>
      </c>
      <c r="J419" s="124">
        <f>I419/$I$838</f>
        <v>1.81E-3</v>
      </c>
      <c r="K419" s="133"/>
      <c r="L419" s="92"/>
      <c r="M419" s="136"/>
      <c r="N419" s="136"/>
      <c r="O419" s="136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</row>
    <row r="420" spans="1:45" s="32" customFormat="1" x14ac:dyDescent="0.2">
      <c r="A420" s="30"/>
      <c r="B420" s="22"/>
      <c r="C420" s="227" t="s">
        <v>252</v>
      </c>
      <c r="D420" s="84" t="s">
        <v>175</v>
      </c>
      <c r="E420" s="19"/>
      <c r="F420" s="179"/>
      <c r="G420" s="40"/>
      <c r="H420" s="40"/>
      <c r="I420" s="20"/>
      <c r="J420" s="124"/>
      <c r="K420" s="133"/>
      <c r="L420" s="92"/>
      <c r="M420" s="136"/>
      <c r="N420" s="136"/>
      <c r="O420" s="136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</row>
    <row r="421" spans="1:45" s="32" customFormat="1" ht="76.5" x14ac:dyDescent="0.2">
      <c r="A421" s="30"/>
      <c r="B421" s="22" t="s">
        <v>121</v>
      </c>
      <c r="C421" s="218" t="s">
        <v>821</v>
      </c>
      <c r="D421" s="12" t="s">
        <v>1051</v>
      </c>
      <c r="E421" s="19" t="s">
        <v>35</v>
      </c>
      <c r="F421" s="179">
        <v>2</v>
      </c>
      <c r="G421" s="40">
        <v>639</v>
      </c>
      <c r="H421" s="40">
        <f t="shared" si="42"/>
        <v>824.75</v>
      </c>
      <c r="I421" s="20">
        <f>F421*H421</f>
        <v>1649.5</v>
      </c>
      <c r="J421" s="124">
        <f t="shared" ref="J421:J429" si="44">I421/$I$838</f>
        <v>2.7599999999999999E-3</v>
      </c>
      <c r="K421" s="133"/>
      <c r="L421" s="92"/>
      <c r="M421" s="136"/>
      <c r="N421" s="136"/>
      <c r="O421" s="136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</row>
    <row r="422" spans="1:45" s="32" customFormat="1" ht="38.25" x14ac:dyDescent="0.2">
      <c r="A422" s="30"/>
      <c r="B422" s="22">
        <v>100858</v>
      </c>
      <c r="C422" s="218" t="s">
        <v>822</v>
      </c>
      <c r="D422" s="127" t="s">
        <v>260</v>
      </c>
      <c r="E422" s="19" t="s">
        <v>35</v>
      </c>
      <c r="F422" s="179">
        <v>2</v>
      </c>
      <c r="G422" s="40">
        <v>319.32</v>
      </c>
      <c r="H422" s="40">
        <f t="shared" si="42"/>
        <v>412.14</v>
      </c>
      <c r="I422" s="20">
        <f>F422*H422</f>
        <v>824.28</v>
      </c>
      <c r="J422" s="124">
        <f t="shared" si="44"/>
        <v>1.3799999999999999E-3</v>
      </c>
      <c r="K422" s="133"/>
      <c r="L422" s="92"/>
      <c r="M422" s="136"/>
      <c r="N422" s="136"/>
      <c r="O422" s="136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</row>
    <row r="423" spans="1:45" s="32" customFormat="1" ht="38.25" x14ac:dyDescent="0.2">
      <c r="A423" s="30"/>
      <c r="B423" s="22">
        <v>86937</v>
      </c>
      <c r="C423" s="218" t="s">
        <v>823</v>
      </c>
      <c r="D423" s="13" t="s">
        <v>262</v>
      </c>
      <c r="E423" s="19" t="s">
        <v>35</v>
      </c>
      <c r="F423" s="179">
        <v>3</v>
      </c>
      <c r="G423" s="40">
        <v>99.82</v>
      </c>
      <c r="H423" s="40">
        <f t="shared" si="42"/>
        <v>128.83000000000001</v>
      </c>
      <c r="I423" s="20">
        <f>F423*H423</f>
        <v>386.49</v>
      </c>
      <c r="J423" s="124">
        <f t="shared" si="44"/>
        <v>6.4999999999999997E-4</v>
      </c>
      <c r="K423" s="133"/>
      <c r="L423" s="92"/>
      <c r="M423" s="136"/>
      <c r="N423" s="136"/>
      <c r="O423" s="136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</row>
    <row r="424" spans="1:45" s="32" customFormat="1" ht="51" x14ac:dyDescent="0.2">
      <c r="A424" s="30"/>
      <c r="B424" s="22" t="s">
        <v>1227</v>
      </c>
      <c r="C424" s="218" t="s">
        <v>824</v>
      </c>
      <c r="D424" s="12" t="s">
        <v>263</v>
      </c>
      <c r="E424" s="21" t="s">
        <v>34</v>
      </c>
      <c r="F424" s="179">
        <v>1.42</v>
      </c>
      <c r="G424" s="40">
        <v>338.69</v>
      </c>
      <c r="H424" s="40">
        <f t="shared" si="42"/>
        <v>437.14</v>
      </c>
      <c r="I424" s="20">
        <f>F424*H424</f>
        <v>620.74</v>
      </c>
      <c r="J424" s="124">
        <f t="shared" si="44"/>
        <v>1.0399999999999999E-3</v>
      </c>
      <c r="K424" s="133"/>
      <c r="L424" s="92"/>
      <c r="M424" s="136"/>
      <c r="N424" s="136"/>
      <c r="O424" s="136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</row>
    <row r="425" spans="1:45" s="32" customFormat="1" ht="38.25" x14ac:dyDescent="0.2">
      <c r="A425" s="30"/>
      <c r="B425" s="22" t="s">
        <v>1240</v>
      </c>
      <c r="C425" s="218" t="s">
        <v>825</v>
      </c>
      <c r="D425" s="12" t="s">
        <v>1173</v>
      </c>
      <c r="E425" s="19" t="s">
        <v>34</v>
      </c>
      <c r="F425" s="179">
        <f>1.8*0.8</f>
        <v>1.44</v>
      </c>
      <c r="G425" s="40">
        <v>304.49</v>
      </c>
      <c r="H425" s="40">
        <f t="shared" si="42"/>
        <v>393</v>
      </c>
      <c r="I425" s="20">
        <f>F425*H425</f>
        <v>565.91999999999996</v>
      </c>
      <c r="J425" s="124">
        <f t="shared" si="44"/>
        <v>9.5E-4</v>
      </c>
      <c r="K425" s="133"/>
      <c r="L425" s="92"/>
      <c r="M425" s="136"/>
      <c r="N425" s="136"/>
      <c r="O425" s="136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</row>
    <row r="426" spans="1:45" s="32" customFormat="1" ht="25.5" x14ac:dyDescent="0.2">
      <c r="A426" s="30"/>
      <c r="B426" s="22">
        <v>37401</v>
      </c>
      <c r="C426" s="218" t="s">
        <v>1172</v>
      </c>
      <c r="D426" s="12" t="s">
        <v>1195</v>
      </c>
      <c r="E426" s="19" t="s">
        <v>35</v>
      </c>
      <c r="F426" s="179">
        <v>1</v>
      </c>
      <c r="G426" s="40">
        <v>27.87</v>
      </c>
      <c r="H426" s="40">
        <f t="shared" si="42"/>
        <v>35.97</v>
      </c>
      <c r="I426" s="20">
        <f>F426*H426</f>
        <v>35.97</v>
      </c>
      <c r="J426" s="124">
        <f t="shared" si="44"/>
        <v>6.0000000000000002E-5</v>
      </c>
      <c r="K426" s="133"/>
      <c r="L426" s="92"/>
      <c r="M426" s="136"/>
      <c r="N426" s="136"/>
      <c r="O426" s="136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</row>
    <row r="427" spans="1:45" s="32" customFormat="1" ht="25.5" x14ac:dyDescent="0.2">
      <c r="A427" s="30"/>
      <c r="B427" s="22">
        <v>95544</v>
      </c>
      <c r="C427" s="218" t="s">
        <v>1196</v>
      </c>
      <c r="D427" s="12" t="s">
        <v>1193</v>
      </c>
      <c r="E427" s="19" t="s">
        <v>35</v>
      </c>
      <c r="F427" s="179">
        <v>2</v>
      </c>
      <c r="G427" s="40">
        <v>24.43</v>
      </c>
      <c r="H427" s="40">
        <f t="shared" si="42"/>
        <v>31.53</v>
      </c>
      <c r="I427" s="20">
        <f>F427*H427</f>
        <v>63.06</v>
      </c>
      <c r="J427" s="124">
        <f t="shared" si="44"/>
        <v>1.1E-4</v>
      </c>
      <c r="K427" s="133"/>
      <c r="L427" s="92"/>
      <c r="M427" s="136"/>
      <c r="N427" s="136"/>
      <c r="O427" s="136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</row>
    <row r="428" spans="1:45" s="32" customFormat="1" ht="25.5" x14ac:dyDescent="0.2">
      <c r="A428" s="30"/>
      <c r="B428" s="22">
        <v>95547</v>
      </c>
      <c r="C428" s="218" t="s">
        <v>1197</v>
      </c>
      <c r="D428" s="12" t="s">
        <v>1194</v>
      </c>
      <c r="E428" s="19" t="s">
        <v>35</v>
      </c>
      <c r="F428" s="179">
        <v>1</v>
      </c>
      <c r="G428" s="40">
        <v>31.81</v>
      </c>
      <c r="H428" s="40">
        <f t="shared" si="42"/>
        <v>41.05</v>
      </c>
      <c r="I428" s="20">
        <f>F428*H428</f>
        <v>41.05</v>
      </c>
      <c r="J428" s="124">
        <f t="shared" si="44"/>
        <v>6.9999999999999994E-5</v>
      </c>
      <c r="K428" s="133"/>
      <c r="L428" s="92"/>
      <c r="M428" s="136"/>
      <c r="N428" s="136"/>
      <c r="O428" s="136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</row>
    <row r="429" spans="1:45" s="32" customFormat="1" ht="25.5" x14ac:dyDescent="0.2">
      <c r="A429" s="30"/>
      <c r="B429" s="22" t="s">
        <v>106</v>
      </c>
      <c r="C429" s="218" t="s">
        <v>1198</v>
      </c>
      <c r="D429" s="13" t="s">
        <v>261</v>
      </c>
      <c r="E429" s="19" t="s">
        <v>35</v>
      </c>
      <c r="F429" s="179">
        <v>3</v>
      </c>
      <c r="G429" s="40">
        <v>112.94</v>
      </c>
      <c r="H429" s="40">
        <f t="shared" si="42"/>
        <v>145.77000000000001</v>
      </c>
      <c r="I429" s="20">
        <f>F429*H429</f>
        <v>437.31</v>
      </c>
      <c r="J429" s="124">
        <f t="shared" si="44"/>
        <v>7.2999999999999996E-4</v>
      </c>
      <c r="K429" s="133"/>
      <c r="L429" s="92"/>
      <c r="M429" s="136"/>
      <c r="N429" s="136"/>
      <c r="O429" s="136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</row>
    <row r="430" spans="1:45" s="32" customFormat="1" x14ac:dyDescent="0.2">
      <c r="A430" s="30"/>
      <c r="B430" s="22"/>
      <c r="C430" s="247"/>
      <c r="D430" s="316" t="s">
        <v>205</v>
      </c>
      <c r="E430" s="316"/>
      <c r="F430" s="316"/>
      <c r="G430" s="316"/>
      <c r="H430" s="317"/>
      <c r="I430" s="109">
        <f>SUM(I395:I429)</f>
        <v>16192.07</v>
      </c>
      <c r="J430" s="124"/>
      <c r="K430" s="133"/>
      <c r="L430" s="92"/>
      <c r="M430" s="136"/>
      <c r="N430" s="136"/>
      <c r="O430" s="136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</row>
    <row r="431" spans="1:45" s="32" customFormat="1" x14ac:dyDescent="0.2">
      <c r="A431" s="30"/>
      <c r="B431" s="22"/>
      <c r="C431" s="229" t="s">
        <v>206</v>
      </c>
      <c r="D431" s="128" t="s">
        <v>104</v>
      </c>
      <c r="E431" s="56"/>
      <c r="F431" s="180"/>
      <c r="G431" s="57"/>
      <c r="H431" s="57"/>
      <c r="I431" s="58"/>
      <c r="J431" s="124"/>
      <c r="K431" s="133"/>
      <c r="L431" s="92"/>
      <c r="M431" s="136"/>
      <c r="N431" s="136"/>
      <c r="O431" s="136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</row>
    <row r="432" spans="1:45" s="32" customFormat="1" x14ac:dyDescent="0.2">
      <c r="A432" s="30"/>
      <c r="B432" s="22"/>
      <c r="C432" s="226" t="s">
        <v>266</v>
      </c>
      <c r="D432" s="84" t="s">
        <v>147</v>
      </c>
      <c r="E432" s="21"/>
      <c r="F432" s="181"/>
      <c r="G432" s="40"/>
      <c r="H432" s="40"/>
      <c r="I432" s="20"/>
      <c r="J432" s="124"/>
      <c r="K432" s="133"/>
      <c r="L432" s="92"/>
      <c r="M432" s="136"/>
      <c r="N432" s="136"/>
      <c r="O432" s="136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</row>
    <row r="433" spans="1:45" s="32" customFormat="1" ht="38.25" x14ac:dyDescent="0.2">
      <c r="A433" s="30"/>
      <c r="B433" s="22">
        <v>94319</v>
      </c>
      <c r="C433" s="218" t="s">
        <v>826</v>
      </c>
      <c r="D433" s="217" t="s">
        <v>356</v>
      </c>
      <c r="E433" s="21" t="s">
        <v>36</v>
      </c>
      <c r="F433" s="179">
        <v>1.84</v>
      </c>
      <c r="G433" s="40">
        <v>21.94</v>
      </c>
      <c r="H433" s="40">
        <f t="shared" ref="H433:H465" si="45">TRUNC((G433*(1+$I$6)),2)</f>
        <v>28.31</v>
      </c>
      <c r="I433" s="20">
        <f>F433*H433</f>
        <v>52.09</v>
      </c>
      <c r="J433" s="124">
        <f t="shared" ref="J433:J438" si="46">I433/$I$838</f>
        <v>9.0000000000000006E-5</v>
      </c>
      <c r="K433" s="133"/>
      <c r="L433" s="92"/>
      <c r="M433" s="136"/>
      <c r="N433" s="136"/>
      <c r="O433" s="136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</row>
    <row r="434" spans="1:45" s="32" customFormat="1" ht="25.5" x14ac:dyDescent="0.2">
      <c r="A434" s="30"/>
      <c r="B434" s="22">
        <v>96624</v>
      </c>
      <c r="C434" s="218" t="s">
        <v>827</v>
      </c>
      <c r="D434" s="12" t="s">
        <v>38</v>
      </c>
      <c r="E434" s="21" t="s">
        <v>36</v>
      </c>
      <c r="F434" s="179">
        <v>0.61</v>
      </c>
      <c r="G434" s="40">
        <v>63.2</v>
      </c>
      <c r="H434" s="40">
        <f t="shared" si="45"/>
        <v>81.569999999999993</v>
      </c>
      <c r="I434" s="20">
        <f>F434*H434</f>
        <v>49.76</v>
      </c>
      <c r="J434" s="124">
        <f t="shared" si="46"/>
        <v>8.0000000000000007E-5</v>
      </c>
      <c r="K434" s="133"/>
      <c r="L434" s="92"/>
      <c r="M434" s="136"/>
      <c r="N434" s="136"/>
      <c r="O434" s="136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</row>
    <row r="435" spans="1:45" s="32" customFormat="1" ht="25.5" x14ac:dyDescent="0.2">
      <c r="A435" s="30"/>
      <c r="B435" s="22" t="s">
        <v>1226</v>
      </c>
      <c r="C435" s="218" t="s">
        <v>828</v>
      </c>
      <c r="D435" s="13" t="s">
        <v>63</v>
      </c>
      <c r="E435" s="21" t="s">
        <v>34</v>
      </c>
      <c r="F435" s="179">
        <v>12.27</v>
      </c>
      <c r="G435" s="40">
        <v>3.2</v>
      </c>
      <c r="H435" s="40">
        <f t="shared" si="45"/>
        <v>4.13</v>
      </c>
      <c r="I435" s="20">
        <f>F435*H435</f>
        <v>50.68</v>
      </c>
      <c r="J435" s="124">
        <f t="shared" si="46"/>
        <v>8.0000000000000007E-5</v>
      </c>
      <c r="K435" s="133"/>
      <c r="L435" s="92"/>
      <c r="M435" s="136"/>
      <c r="N435" s="136"/>
      <c r="O435" s="136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</row>
    <row r="436" spans="1:45" s="32" customFormat="1" ht="38.25" x14ac:dyDescent="0.2">
      <c r="A436" s="30"/>
      <c r="B436" s="22">
        <v>94991</v>
      </c>
      <c r="C436" s="218" t="s">
        <v>829</v>
      </c>
      <c r="D436" s="13" t="s">
        <v>222</v>
      </c>
      <c r="E436" s="21" t="s">
        <v>36</v>
      </c>
      <c r="F436" s="181">
        <v>0.61</v>
      </c>
      <c r="G436" s="40">
        <v>326.01</v>
      </c>
      <c r="H436" s="40">
        <f t="shared" si="45"/>
        <v>420.78</v>
      </c>
      <c r="I436" s="20">
        <f>F436*H436</f>
        <v>256.68</v>
      </c>
      <c r="J436" s="124">
        <f t="shared" si="46"/>
        <v>4.2999999999999999E-4</v>
      </c>
      <c r="K436" s="133"/>
      <c r="L436" s="92"/>
      <c r="M436" s="136"/>
      <c r="N436" s="136"/>
      <c r="O436" s="136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</row>
    <row r="437" spans="1:45" s="32" customFormat="1" ht="51" x14ac:dyDescent="0.2">
      <c r="A437" s="30"/>
      <c r="B437" s="22">
        <v>87251</v>
      </c>
      <c r="C437" s="218" t="s">
        <v>830</v>
      </c>
      <c r="D437" s="11" t="s">
        <v>1209</v>
      </c>
      <c r="E437" s="21" t="s">
        <v>34</v>
      </c>
      <c r="F437" s="179">
        <v>12.27</v>
      </c>
      <c r="G437" s="40">
        <v>22.44</v>
      </c>
      <c r="H437" s="40">
        <f t="shared" si="45"/>
        <v>28.96</v>
      </c>
      <c r="I437" s="20">
        <f>F437*H437</f>
        <v>355.34</v>
      </c>
      <c r="J437" s="124">
        <f t="shared" si="46"/>
        <v>5.9000000000000003E-4</v>
      </c>
      <c r="K437" s="133"/>
      <c r="L437" s="92"/>
      <c r="M437" s="136"/>
      <c r="N437" s="136"/>
      <c r="O437" s="136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</row>
    <row r="438" spans="1:45" s="32" customFormat="1" ht="25.5" x14ac:dyDescent="0.2">
      <c r="A438" s="30"/>
      <c r="B438" s="22">
        <v>98689</v>
      </c>
      <c r="C438" s="218" t="s">
        <v>831</v>
      </c>
      <c r="D438" s="76" t="s">
        <v>148</v>
      </c>
      <c r="E438" s="21" t="s">
        <v>37</v>
      </c>
      <c r="F438" s="179">
        <v>0.8</v>
      </c>
      <c r="G438" s="40">
        <v>52.28</v>
      </c>
      <c r="H438" s="40">
        <f t="shared" si="45"/>
        <v>67.47</v>
      </c>
      <c r="I438" s="20">
        <f>F438*H438</f>
        <v>53.98</v>
      </c>
      <c r="J438" s="124">
        <f t="shared" si="46"/>
        <v>9.0000000000000006E-5</v>
      </c>
      <c r="K438" s="133"/>
      <c r="L438" s="92"/>
      <c r="M438" s="136"/>
      <c r="N438" s="136"/>
      <c r="O438" s="136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</row>
    <row r="439" spans="1:45" s="32" customFormat="1" x14ac:dyDescent="0.2">
      <c r="A439" s="30"/>
      <c r="B439" s="22"/>
      <c r="C439" s="226" t="s">
        <v>268</v>
      </c>
      <c r="D439" s="84" t="s">
        <v>150</v>
      </c>
      <c r="E439" s="85"/>
      <c r="F439" s="181"/>
      <c r="G439" s="40"/>
      <c r="H439" s="40"/>
      <c r="I439" s="20"/>
      <c r="J439" s="124"/>
      <c r="K439" s="133"/>
      <c r="L439" s="92"/>
      <c r="M439" s="136"/>
      <c r="N439" s="136"/>
      <c r="O439" s="136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</row>
    <row r="440" spans="1:45" s="32" customFormat="1" ht="51" x14ac:dyDescent="0.2">
      <c r="A440" s="30"/>
      <c r="B440" s="22">
        <v>87508</v>
      </c>
      <c r="C440" s="218" t="s">
        <v>832</v>
      </c>
      <c r="D440" s="12" t="s">
        <v>253</v>
      </c>
      <c r="E440" s="19" t="s">
        <v>34</v>
      </c>
      <c r="F440" s="179">
        <v>0.42</v>
      </c>
      <c r="G440" s="40">
        <v>48.51</v>
      </c>
      <c r="H440" s="40">
        <f t="shared" si="45"/>
        <v>62.61</v>
      </c>
      <c r="I440" s="20">
        <f>F440*H440</f>
        <v>26.3</v>
      </c>
      <c r="J440" s="124">
        <f>I440/$I$838</f>
        <v>4.0000000000000003E-5</v>
      </c>
      <c r="K440" s="133"/>
      <c r="L440" s="92"/>
      <c r="M440" s="136"/>
      <c r="N440" s="136"/>
      <c r="O440" s="136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</row>
    <row r="441" spans="1:45" s="32" customFormat="1" ht="25.5" x14ac:dyDescent="0.2">
      <c r="A441" s="30"/>
      <c r="B441" s="22">
        <v>87879</v>
      </c>
      <c r="C441" s="218" t="s">
        <v>833</v>
      </c>
      <c r="D441" s="12" t="s">
        <v>42</v>
      </c>
      <c r="E441" s="21" t="s">
        <v>34</v>
      </c>
      <c r="F441" s="179">
        <v>48.14</v>
      </c>
      <c r="G441" s="40">
        <v>1.98</v>
      </c>
      <c r="H441" s="40">
        <f t="shared" si="45"/>
        <v>2.5499999999999998</v>
      </c>
      <c r="I441" s="20">
        <f>F441*H441</f>
        <v>122.76</v>
      </c>
      <c r="J441" s="124">
        <f>I441/$I$838</f>
        <v>2.1000000000000001E-4</v>
      </c>
      <c r="K441" s="133"/>
      <c r="L441" s="92"/>
      <c r="M441" s="136"/>
      <c r="N441" s="136"/>
      <c r="O441" s="136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</row>
    <row r="442" spans="1:45" s="69" customFormat="1" ht="51" x14ac:dyDescent="0.2">
      <c r="A442" s="68"/>
      <c r="B442" s="22">
        <v>87529</v>
      </c>
      <c r="C442" s="218" t="s">
        <v>834</v>
      </c>
      <c r="D442" s="12" t="s">
        <v>154</v>
      </c>
      <c r="E442" s="19" t="s">
        <v>34</v>
      </c>
      <c r="F442" s="179">
        <v>48.14</v>
      </c>
      <c r="G442" s="40">
        <v>16.82</v>
      </c>
      <c r="H442" s="40">
        <f t="shared" si="45"/>
        <v>21.7</v>
      </c>
      <c r="I442" s="20">
        <f>F442*H442</f>
        <v>1044.6400000000001</v>
      </c>
      <c r="J442" s="124">
        <f>I442/$I$838</f>
        <v>1.75E-3</v>
      </c>
      <c r="K442" s="134"/>
      <c r="L442" s="137"/>
      <c r="M442" s="138"/>
      <c r="N442" s="138"/>
      <c r="O442" s="138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  <c r="AA442" s="139"/>
      <c r="AB442" s="139"/>
      <c r="AC442" s="140"/>
      <c r="AD442" s="140"/>
      <c r="AE442" s="140"/>
      <c r="AF442" s="140"/>
      <c r="AG442" s="140"/>
      <c r="AH442" s="140"/>
      <c r="AI442" s="140"/>
      <c r="AJ442" s="140"/>
      <c r="AK442" s="140"/>
      <c r="AL442" s="140"/>
      <c r="AM442" s="140"/>
      <c r="AN442" s="140"/>
      <c r="AO442" s="140"/>
      <c r="AP442" s="140"/>
      <c r="AQ442" s="140"/>
      <c r="AR442" s="140"/>
      <c r="AS442" s="140"/>
    </row>
    <row r="443" spans="1:45" s="32" customFormat="1" ht="51" x14ac:dyDescent="0.2">
      <c r="A443" s="30"/>
      <c r="B443" s="22">
        <v>87273</v>
      </c>
      <c r="C443" s="218" t="s">
        <v>835</v>
      </c>
      <c r="D443" s="12" t="s">
        <v>168</v>
      </c>
      <c r="E443" s="19" t="s">
        <v>34</v>
      </c>
      <c r="F443" s="179">
        <v>48.14</v>
      </c>
      <c r="G443" s="40">
        <v>35.94</v>
      </c>
      <c r="H443" s="40">
        <f t="shared" si="45"/>
        <v>46.38</v>
      </c>
      <c r="I443" s="20">
        <f>F443*H443</f>
        <v>2232.73</v>
      </c>
      <c r="J443" s="124">
        <f>I443/$I$838</f>
        <v>3.7299999999999998E-3</v>
      </c>
      <c r="K443" s="133"/>
      <c r="L443" s="92"/>
      <c r="M443" s="136"/>
      <c r="N443" s="136"/>
      <c r="O443" s="136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</row>
    <row r="444" spans="1:45" s="32" customFormat="1" x14ac:dyDescent="0.2">
      <c r="A444" s="30"/>
      <c r="B444" s="22"/>
      <c r="C444" s="226" t="s">
        <v>269</v>
      </c>
      <c r="D444" s="84" t="s">
        <v>165</v>
      </c>
      <c r="E444" s="21"/>
      <c r="F444" s="179"/>
      <c r="G444" s="40"/>
      <c r="H444" s="40"/>
      <c r="I444" s="20"/>
      <c r="J444" s="124"/>
      <c r="K444" s="133"/>
      <c r="L444" s="92"/>
      <c r="M444" s="136"/>
      <c r="N444" s="136"/>
      <c r="O444" s="136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</row>
    <row r="445" spans="1:45" s="32" customFormat="1" ht="38.25" x14ac:dyDescent="0.2">
      <c r="A445" s="30"/>
      <c r="B445" s="22">
        <v>87887</v>
      </c>
      <c r="C445" s="218" t="s">
        <v>836</v>
      </c>
      <c r="D445" s="12" t="s">
        <v>255</v>
      </c>
      <c r="E445" s="21" t="s">
        <v>34</v>
      </c>
      <c r="F445" s="179">
        <v>12.27</v>
      </c>
      <c r="G445" s="40">
        <v>9.01</v>
      </c>
      <c r="H445" s="40">
        <f t="shared" si="45"/>
        <v>11.62</v>
      </c>
      <c r="I445" s="20">
        <f>F445*H445</f>
        <v>142.58000000000001</v>
      </c>
      <c r="J445" s="124">
        <f>I445/$I$838</f>
        <v>2.4000000000000001E-4</v>
      </c>
      <c r="K445" s="133"/>
      <c r="L445" s="92"/>
      <c r="M445" s="136"/>
      <c r="N445" s="136"/>
      <c r="O445" s="136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</row>
    <row r="446" spans="1:45" s="32" customFormat="1" ht="51" x14ac:dyDescent="0.2">
      <c r="A446" s="30"/>
      <c r="B446" s="22">
        <v>90406</v>
      </c>
      <c r="C446" s="218" t="s">
        <v>837</v>
      </c>
      <c r="D446" s="12" t="s">
        <v>254</v>
      </c>
      <c r="E446" s="21" t="s">
        <v>34</v>
      </c>
      <c r="F446" s="179">
        <v>12.27</v>
      </c>
      <c r="G446" s="40">
        <v>22.06</v>
      </c>
      <c r="H446" s="40">
        <f t="shared" si="45"/>
        <v>28.47</v>
      </c>
      <c r="I446" s="20">
        <f>F446*H446</f>
        <v>349.33</v>
      </c>
      <c r="J446" s="124">
        <f>I446/$I$838</f>
        <v>5.8E-4</v>
      </c>
      <c r="K446" s="133"/>
      <c r="L446" s="92"/>
      <c r="M446" s="136"/>
      <c r="N446" s="136"/>
      <c r="O446" s="136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</row>
    <row r="447" spans="1:45" s="32" customFormat="1" ht="25.5" x14ac:dyDescent="0.2">
      <c r="A447" s="30"/>
      <c r="B447" s="22">
        <v>88484</v>
      </c>
      <c r="C447" s="218" t="s">
        <v>838</v>
      </c>
      <c r="D447" s="76" t="s">
        <v>156</v>
      </c>
      <c r="E447" s="21" t="s">
        <v>34</v>
      </c>
      <c r="F447" s="179">
        <v>12.27</v>
      </c>
      <c r="G447" s="40">
        <v>1.39</v>
      </c>
      <c r="H447" s="40">
        <f t="shared" si="45"/>
        <v>1.79</v>
      </c>
      <c r="I447" s="20">
        <f>F447*H447</f>
        <v>21.96</v>
      </c>
      <c r="J447" s="124">
        <f>I447/$I$838</f>
        <v>4.0000000000000003E-5</v>
      </c>
      <c r="K447" s="133"/>
      <c r="L447" s="92"/>
      <c r="M447" s="136"/>
      <c r="N447" s="136"/>
      <c r="O447" s="136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</row>
    <row r="448" spans="1:45" s="32" customFormat="1" ht="25.5" x14ac:dyDescent="0.2">
      <c r="A448" s="30"/>
      <c r="B448" s="22">
        <v>88494</v>
      </c>
      <c r="C448" s="218" t="s">
        <v>839</v>
      </c>
      <c r="D448" s="76" t="s">
        <v>158</v>
      </c>
      <c r="E448" s="21" t="s">
        <v>34</v>
      </c>
      <c r="F448" s="179">
        <v>12.27</v>
      </c>
      <c r="G448" s="40">
        <v>10.24</v>
      </c>
      <c r="H448" s="40">
        <f t="shared" si="45"/>
        <v>13.21</v>
      </c>
      <c r="I448" s="20">
        <f>F448*H448</f>
        <v>162.09</v>
      </c>
      <c r="J448" s="124">
        <f>I448/$I$838</f>
        <v>2.7E-4</v>
      </c>
      <c r="K448" s="133"/>
      <c r="L448" s="92"/>
      <c r="M448" s="136"/>
      <c r="N448" s="136"/>
      <c r="O448" s="136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</row>
    <row r="449" spans="1:45" s="32" customFormat="1" ht="25.5" x14ac:dyDescent="0.2">
      <c r="A449" s="30"/>
      <c r="B449" s="22">
        <v>88488</v>
      </c>
      <c r="C449" s="218" t="s">
        <v>840</v>
      </c>
      <c r="D449" s="13" t="s">
        <v>157</v>
      </c>
      <c r="E449" s="21" t="s">
        <v>34</v>
      </c>
      <c r="F449" s="179">
        <v>12.27</v>
      </c>
      <c r="G449" s="40">
        <v>8.32</v>
      </c>
      <c r="H449" s="40">
        <f t="shared" si="45"/>
        <v>10.73</v>
      </c>
      <c r="I449" s="20">
        <f>F449*H449</f>
        <v>131.66</v>
      </c>
      <c r="J449" s="124">
        <f>I449/$I$838</f>
        <v>2.2000000000000001E-4</v>
      </c>
      <c r="K449" s="133"/>
      <c r="L449" s="92"/>
      <c r="M449" s="136"/>
      <c r="N449" s="136"/>
      <c r="O449" s="136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</row>
    <row r="450" spans="1:45" s="32" customFormat="1" x14ac:dyDescent="0.2">
      <c r="A450" s="30"/>
      <c r="B450" s="22"/>
      <c r="C450" s="226" t="s">
        <v>270</v>
      </c>
      <c r="D450" s="86" t="s">
        <v>153</v>
      </c>
      <c r="E450" s="21"/>
      <c r="F450" s="179"/>
      <c r="G450" s="40"/>
      <c r="H450" s="40"/>
      <c r="I450" s="20"/>
      <c r="J450" s="124"/>
      <c r="K450" s="133"/>
      <c r="L450" s="92"/>
      <c r="M450" s="136"/>
      <c r="N450" s="136"/>
      <c r="O450" s="136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</row>
    <row r="451" spans="1:45" s="32" customFormat="1" ht="25.5" x14ac:dyDescent="0.2">
      <c r="A451" s="30"/>
      <c r="B451" s="22">
        <v>98689</v>
      </c>
      <c r="C451" s="218" t="s">
        <v>841</v>
      </c>
      <c r="D451" s="76" t="s">
        <v>159</v>
      </c>
      <c r="E451" s="21" t="s">
        <v>37</v>
      </c>
      <c r="F451" s="179">
        <v>1.5</v>
      </c>
      <c r="G451" s="40">
        <v>52.28</v>
      </c>
      <c r="H451" s="40">
        <f t="shared" si="45"/>
        <v>67.47</v>
      </c>
      <c r="I451" s="20">
        <f>F451*H451</f>
        <v>101.21</v>
      </c>
      <c r="J451" s="124">
        <f>I451/$I$838</f>
        <v>1.7000000000000001E-4</v>
      </c>
      <c r="K451" s="133"/>
      <c r="L451" s="92"/>
      <c r="M451" s="136"/>
      <c r="N451" s="136"/>
      <c r="O451" s="136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</row>
    <row r="452" spans="1:45" s="32" customFormat="1" ht="25.5" x14ac:dyDescent="0.2">
      <c r="A452" s="30"/>
      <c r="B452" s="105">
        <v>91341</v>
      </c>
      <c r="C452" s="218" t="s">
        <v>842</v>
      </c>
      <c r="D452" s="76" t="s">
        <v>258</v>
      </c>
      <c r="E452" s="21" t="s">
        <v>34</v>
      </c>
      <c r="F452" s="179">
        <v>1.68</v>
      </c>
      <c r="G452" s="40">
        <v>517.35</v>
      </c>
      <c r="H452" s="40">
        <f t="shared" si="45"/>
        <v>667.74</v>
      </c>
      <c r="I452" s="20">
        <f>F452*H452</f>
        <v>1121.8</v>
      </c>
      <c r="J452" s="124">
        <f>I452/$I$838</f>
        <v>1.8799999999999999E-3</v>
      </c>
      <c r="K452" s="133"/>
      <c r="L452" s="92"/>
      <c r="M452" s="136"/>
      <c r="N452" s="136"/>
      <c r="O452" s="136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</row>
    <row r="453" spans="1:45" s="32" customFormat="1" ht="38.25" x14ac:dyDescent="0.2">
      <c r="A453" s="30"/>
      <c r="B453" s="22" t="s">
        <v>121</v>
      </c>
      <c r="C453" s="218" t="s">
        <v>843</v>
      </c>
      <c r="D453" s="13" t="s">
        <v>256</v>
      </c>
      <c r="E453" s="21" t="s">
        <v>35</v>
      </c>
      <c r="F453" s="179">
        <v>1</v>
      </c>
      <c r="G453" s="40">
        <v>551.44000000000005</v>
      </c>
      <c r="H453" s="40">
        <f t="shared" si="45"/>
        <v>711.74</v>
      </c>
      <c r="I453" s="20">
        <f>F453*H453</f>
        <v>711.74</v>
      </c>
      <c r="J453" s="124">
        <f>I453/$I$838</f>
        <v>1.1900000000000001E-3</v>
      </c>
      <c r="K453" s="133"/>
      <c r="L453" s="92"/>
      <c r="M453" s="136"/>
      <c r="N453" s="136"/>
      <c r="O453" s="136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</row>
    <row r="454" spans="1:45" s="32" customFormat="1" x14ac:dyDescent="0.2">
      <c r="A454" s="30"/>
      <c r="B454" s="22"/>
      <c r="C454" s="227" t="s">
        <v>271</v>
      </c>
      <c r="D454" s="84" t="s">
        <v>251</v>
      </c>
      <c r="E454" s="21"/>
      <c r="F454" s="179"/>
      <c r="G454" s="40"/>
      <c r="H454" s="40"/>
      <c r="I454" s="20"/>
      <c r="J454" s="124"/>
      <c r="K454" s="133"/>
      <c r="L454" s="92"/>
      <c r="M454" s="136"/>
      <c r="N454" s="136"/>
      <c r="O454" s="136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</row>
    <row r="455" spans="1:45" s="32" customFormat="1" ht="51" x14ac:dyDescent="0.2">
      <c r="A455" s="30"/>
      <c r="B455" s="22">
        <v>102253</v>
      </c>
      <c r="C455" s="218" t="s">
        <v>844</v>
      </c>
      <c r="D455" s="12" t="s">
        <v>257</v>
      </c>
      <c r="E455" s="21" t="s">
        <v>34</v>
      </c>
      <c r="F455" s="179">
        <v>9.2799999999999994</v>
      </c>
      <c r="G455" s="40">
        <v>399.81</v>
      </c>
      <c r="H455" s="40">
        <f t="shared" si="45"/>
        <v>516.03</v>
      </c>
      <c r="I455" s="20">
        <f>F455*H455</f>
        <v>4788.76</v>
      </c>
      <c r="J455" s="124">
        <f>I455/$I$838</f>
        <v>8.0099999999999998E-3</v>
      </c>
      <c r="K455" s="133"/>
      <c r="L455" s="92"/>
      <c r="M455" s="136"/>
      <c r="N455" s="136"/>
      <c r="O455" s="136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</row>
    <row r="456" spans="1:45" s="32" customFormat="1" ht="25.5" x14ac:dyDescent="0.2">
      <c r="A456" s="30"/>
      <c r="B456" s="105">
        <v>91341</v>
      </c>
      <c r="C456" s="218" t="s">
        <v>845</v>
      </c>
      <c r="D456" s="76" t="s">
        <v>264</v>
      </c>
      <c r="E456" s="21" t="s">
        <v>34</v>
      </c>
      <c r="F456" s="179">
        <v>3.24</v>
      </c>
      <c r="G456" s="40">
        <v>517.35</v>
      </c>
      <c r="H456" s="40">
        <f t="shared" si="45"/>
        <v>667.74</v>
      </c>
      <c r="I456" s="20">
        <f>F456*H456</f>
        <v>2163.48</v>
      </c>
      <c r="J456" s="124">
        <f>I456/$I$838</f>
        <v>3.62E-3</v>
      </c>
      <c r="K456" s="133"/>
      <c r="L456" s="92"/>
      <c r="M456" s="136"/>
      <c r="N456" s="136"/>
      <c r="O456" s="136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</row>
    <row r="457" spans="1:45" s="32" customFormat="1" x14ac:dyDescent="0.2">
      <c r="A457" s="30"/>
      <c r="B457" s="22"/>
      <c r="C457" s="227" t="s">
        <v>272</v>
      </c>
      <c r="D457" s="84" t="s">
        <v>175</v>
      </c>
      <c r="E457" s="19"/>
      <c r="F457" s="179"/>
      <c r="G457" s="40"/>
      <c r="H457" s="40"/>
      <c r="I457" s="20"/>
      <c r="J457" s="124"/>
      <c r="K457" s="133"/>
      <c r="L457" s="92"/>
      <c r="M457" s="136"/>
      <c r="N457" s="136"/>
      <c r="O457" s="136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</row>
    <row r="458" spans="1:45" s="32" customFormat="1" ht="76.5" x14ac:dyDescent="0.2">
      <c r="A458" s="30"/>
      <c r="B458" s="22" t="s">
        <v>121</v>
      </c>
      <c r="C458" s="218" t="s">
        <v>846</v>
      </c>
      <c r="D458" s="12" t="s">
        <v>1051</v>
      </c>
      <c r="E458" s="19" t="s">
        <v>35</v>
      </c>
      <c r="F458" s="179">
        <v>4</v>
      </c>
      <c r="G458" s="40">
        <v>639</v>
      </c>
      <c r="H458" s="40">
        <f t="shared" si="45"/>
        <v>824.75</v>
      </c>
      <c r="I458" s="20">
        <f>F458*H458</f>
        <v>3299</v>
      </c>
      <c r="J458" s="124">
        <f t="shared" ref="J458:J465" si="47">I458/$I$838</f>
        <v>5.5199999999999997E-3</v>
      </c>
      <c r="K458" s="133"/>
      <c r="L458" s="92"/>
      <c r="M458" s="136"/>
      <c r="N458" s="136"/>
      <c r="O458" s="136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</row>
    <row r="459" spans="1:45" s="32" customFormat="1" ht="38.25" x14ac:dyDescent="0.2">
      <c r="A459" s="30"/>
      <c r="B459" s="22">
        <v>86937</v>
      </c>
      <c r="C459" s="218" t="s">
        <v>847</v>
      </c>
      <c r="D459" s="13" t="s">
        <v>262</v>
      </c>
      <c r="E459" s="19" t="s">
        <v>35</v>
      </c>
      <c r="F459" s="179">
        <v>3</v>
      </c>
      <c r="G459" s="40">
        <v>99.82</v>
      </c>
      <c r="H459" s="40">
        <f t="shared" si="45"/>
        <v>128.83000000000001</v>
      </c>
      <c r="I459" s="20">
        <f>F459*H459</f>
        <v>386.49</v>
      </c>
      <c r="J459" s="124">
        <f t="shared" si="47"/>
        <v>6.4999999999999997E-4</v>
      </c>
      <c r="K459" s="133"/>
      <c r="L459" s="92"/>
      <c r="M459" s="136"/>
      <c r="N459" s="136"/>
      <c r="O459" s="136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</row>
    <row r="460" spans="1:45" s="32" customFormat="1" ht="51" x14ac:dyDescent="0.2">
      <c r="A460" s="30"/>
      <c r="B460" s="22" t="s">
        <v>1227</v>
      </c>
      <c r="C460" s="218" t="s">
        <v>848</v>
      </c>
      <c r="D460" s="12" t="s">
        <v>263</v>
      </c>
      <c r="E460" s="21" t="s">
        <v>34</v>
      </c>
      <c r="F460" s="179">
        <v>1.42</v>
      </c>
      <c r="G460" s="40">
        <v>338.69</v>
      </c>
      <c r="H460" s="40">
        <f t="shared" si="45"/>
        <v>437.14</v>
      </c>
      <c r="I460" s="20">
        <f>F460*H460</f>
        <v>620.74</v>
      </c>
      <c r="J460" s="124">
        <f t="shared" si="47"/>
        <v>1.0399999999999999E-3</v>
      </c>
      <c r="K460" s="133"/>
      <c r="L460" s="92"/>
      <c r="M460" s="136"/>
      <c r="N460" s="136"/>
      <c r="O460" s="136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</row>
    <row r="461" spans="1:45" s="32" customFormat="1" ht="38.25" x14ac:dyDescent="0.2">
      <c r="A461" s="30"/>
      <c r="B461" s="22" t="s">
        <v>1240</v>
      </c>
      <c r="C461" s="218" t="s">
        <v>849</v>
      </c>
      <c r="D461" s="12" t="s">
        <v>1173</v>
      </c>
      <c r="E461" s="19" t="s">
        <v>34</v>
      </c>
      <c r="F461" s="179">
        <f>1.8*0.8</f>
        <v>1.44</v>
      </c>
      <c r="G461" s="40">
        <v>304.49</v>
      </c>
      <c r="H461" s="40">
        <f t="shared" si="45"/>
        <v>393</v>
      </c>
      <c r="I461" s="20">
        <f>F461*H461</f>
        <v>565.91999999999996</v>
      </c>
      <c r="J461" s="124">
        <f t="shared" si="47"/>
        <v>9.5E-4</v>
      </c>
      <c r="K461" s="133"/>
      <c r="L461" s="92"/>
      <c r="M461" s="136"/>
      <c r="N461" s="136"/>
      <c r="O461" s="136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</row>
    <row r="462" spans="1:45" s="32" customFormat="1" ht="25.5" x14ac:dyDescent="0.2">
      <c r="A462" s="30"/>
      <c r="B462" s="22">
        <v>37401</v>
      </c>
      <c r="C462" s="218" t="s">
        <v>1174</v>
      </c>
      <c r="D462" s="12" t="s">
        <v>1192</v>
      </c>
      <c r="E462" s="19" t="s">
        <v>35</v>
      </c>
      <c r="F462" s="179">
        <v>1</v>
      </c>
      <c r="G462" s="40">
        <v>27.87</v>
      </c>
      <c r="H462" s="40">
        <f t="shared" si="45"/>
        <v>35.97</v>
      </c>
      <c r="I462" s="20">
        <f>F462*H462</f>
        <v>35.97</v>
      </c>
      <c r="J462" s="124">
        <f t="shared" si="47"/>
        <v>6.0000000000000002E-5</v>
      </c>
      <c r="K462" s="133"/>
      <c r="L462" s="92"/>
      <c r="M462" s="136"/>
      <c r="N462" s="136"/>
      <c r="O462" s="136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</row>
    <row r="463" spans="1:45" s="32" customFormat="1" ht="25.5" x14ac:dyDescent="0.2">
      <c r="A463" s="30"/>
      <c r="B463" s="22">
        <v>95544</v>
      </c>
      <c r="C463" s="218" t="s">
        <v>1199</v>
      </c>
      <c r="D463" s="12" t="s">
        <v>1193</v>
      </c>
      <c r="E463" s="19" t="s">
        <v>35</v>
      </c>
      <c r="F463" s="179">
        <v>4</v>
      </c>
      <c r="G463" s="40">
        <v>24.43</v>
      </c>
      <c r="H463" s="40">
        <f t="shared" si="45"/>
        <v>31.53</v>
      </c>
      <c r="I463" s="20">
        <f>F463*H463</f>
        <v>126.12</v>
      </c>
      <c r="J463" s="124">
        <f t="shared" si="47"/>
        <v>2.1000000000000001E-4</v>
      </c>
      <c r="K463" s="133"/>
      <c r="L463" s="92"/>
      <c r="M463" s="136"/>
      <c r="N463" s="136"/>
      <c r="O463" s="136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</row>
    <row r="464" spans="1:45" s="32" customFormat="1" ht="25.5" x14ac:dyDescent="0.2">
      <c r="A464" s="30"/>
      <c r="B464" s="22">
        <v>95547</v>
      </c>
      <c r="C464" s="218" t="s">
        <v>1200</v>
      </c>
      <c r="D464" s="12" t="s">
        <v>1194</v>
      </c>
      <c r="E464" s="19" t="s">
        <v>35</v>
      </c>
      <c r="F464" s="179">
        <v>1</v>
      </c>
      <c r="G464" s="40">
        <v>31.81</v>
      </c>
      <c r="H464" s="40">
        <f t="shared" si="45"/>
        <v>41.05</v>
      </c>
      <c r="I464" s="20">
        <f>F464*H464</f>
        <v>41.05</v>
      </c>
      <c r="J464" s="124">
        <f t="shared" si="47"/>
        <v>6.9999999999999994E-5</v>
      </c>
      <c r="K464" s="133"/>
      <c r="L464" s="92"/>
      <c r="M464" s="136"/>
      <c r="N464" s="136"/>
      <c r="O464" s="136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</row>
    <row r="465" spans="1:45" s="32" customFormat="1" ht="25.5" x14ac:dyDescent="0.2">
      <c r="A465" s="30"/>
      <c r="B465" s="22" t="s">
        <v>106</v>
      </c>
      <c r="C465" s="218" t="s">
        <v>1201</v>
      </c>
      <c r="D465" s="13" t="s">
        <v>261</v>
      </c>
      <c r="E465" s="19" t="s">
        <v>35</v>
      </c>
      <c r="F465" s="179">
        <v>3</v>
      </c>
      <c r="G465" s="40">
        <v>112.94</v>
      </c>
      <c r="H465" s="40">
        <f t="shared" si="45"/>
        <v>145.77000000000001</v>
      </c>
      <c r="I465" s="20">
        <f>F465*H465</f>
        <v>437.31</v>
      </c>
      <c r="J465" s="124">
        <f t="shared" si="47"/>
        <v>7.2999999999999996E-4</v>
      </c>
      <c r="K465" s="133"/>
      <c r="L465" s="92"/>
      <c r="M465" s="136"/>
      <c r="N465" s="136"/>
      <c r="O465" s="136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</row>
    <row r="466" spans="1:45" s="32" customFormat="1" x14ac:dyDescent="0.2">
      <c r="A466" s="30"/>
      <c r="B466" s="22"/>
      <c r="C466" s="247"/>
      <c r="D466" s="316" t="s">
        <v>207</v>
      </c>
      <c r="E466" s="316"/>
      <c r="F466" s="316"/>
      <c r="G466" s="316"/>
      <c r="H466" s="317"/>
      <c r="I466" s="109">
        <f>SUM(I432:I465)</f>
        <v>19452.169999999998</v>
      </c>
      <c r="J466" s="124"/>
      <c r="K466" s="133"/>
      <c r="L466" s="92"/>
      <c r="M466" s="136"/>
      <c r="N466" s="136"/>
      <c r="O466" s="136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</row>
    <row r="467" spans="1:45" s="32" customFormat="1" x14ac:dyDescent="0.2">
      <c r="A467" s="30"/>
      <c r="B467" s="22"/>
      <c r="C467" s="229" t="s">
        <v>208</v>
      </c>
      <c r="D467" s="128" t="s">
        <v>209</v>
      </c>
      <c r="E467" s="56"/>
      <c r="F467" s="180"/>
      <c r="G467" s="57"/>
      <c r="H467" s="57"/>
      <c r="I467" s="58"/>
      <c r="J467" s="124"/>
      <c r="K467" s="133"/>
      <c r="L467" s="92"/>
      <c r="M467" s="136"/>
      <c r="N467" s="136"/>
      <c r="O467" s="136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</row>
    <row r="468" spans="1:45" s="32" customFormat="1" x14ac:dyDescent="0.2">
      <c r="A468" s="30"/>
      <c r="B468" s="22"/>
      <c r="C468" s="226" t="s">
        <v>273</v>
      </c>
      <c r="D468" s="84" t="s">
        <v>147</v>
      </c>
      <c r="E468" s="21"/>
      <c r="F468" s="181"/>
      <c r="G468" s="40"/>
      <c r="H468" s="40"/>
      <c r="I468" s="20"/>
      <c r="J468" s="124"/>
      <c r="K468" s="133"/>
      <c r="L468" s="92"/>
      <c r="M468" s="136"/>
      <c r="N468" s="136"/>
      <c r="O468" s="136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</row>
    <row r="469" spans="1:45" s="32" customFormat="1" ht="38.25" x14ac:dyDescent="0.2">
      <c r="A469" s="30"/>
      <c r="B469" s="22">
        <v>94319</v>
      </c>
      <c r="C469" s="218" t="s">
        <v>850</v>
      </c>
      <c r="D469" s="217" t="s">
        <v>356</v>
      </c>
      <c r="E469" s="21" t="s">
        <v>36</v>
      </c>
      <c r="F469" s="179">
        <v>3.72</v>
      </c>
      <c r="G469" s="40">
        <v>21.94</v>
      </c>
      <c r="H469" s="40">
        <f t="shared" ref="H469:H497" si="48">TRUNC((G469*(1+$I$6)),2)</f>
        <v>28.31</v>
      </c>
      <c r="I469" s="20">
        <f>F469*H469</f>
        <v>105.31</v>
      </c>
      <c r="J469" s="124">
        <f t="shared" ref="J469:J475" si="49">I469/$I$838</f>
        <v>1.8000000000000001E-4</v>
      </c>
      <c r="K469" s="133"/>
      <c r="L469" s="92"/>
      <c r="M469" s="136"/>
      <c r="N469" s="136"/>
      <c r="O469" s="136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</row>
    <row r="470" spans="1:45" s="32" customFormat="1" ht="25.5" x14ac:dyDescent="0.2">
      <c r="A470" s="30"/>
      <c r="B470" s="22">
        <v>96624</v>
      </c>
      <c r="C470" s="218" t="s">
        <v>852</v>
      </c>
      <c r="D470" s="12" t="s">
        <v>38</v>
      </c>
      <c r="E470" s="21" t="s">
        <v>36</v>
      </c>
      <c r="F470" s="179">
        <v>1.24</v>
      </c>
      <c r="G470" s="40">
        <v>63.2</v>
      </c>
      <c r="H470" s="40">
        <f t="shared" si="48"/>
        <v>81.569999999999993</v>
      </c>
      <c r="I470" s="20">
        <f>F470*H470</f>
        <v>101.15</v>
      </c>
      <c r="J470" s="124">
        <f t="shared" si="49"/>
        <v>1.7000000000000001E-4</v>
      </c>
      <c r="K470" s="133"/>
      <c r="L470" s="92"/>
      <c r="M470" s="136"/>
      <c r="N470" s="136"/>
      <c r="O470" s="136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</row>
    <row r="471" spans="1:45" s="32" customFormat="1" ht="25.5" x14ac:dyDescent="0.2">
      <c r="A471" s="30"/>
      <c r="B471" s="22" t="s">
        <v>1226</v>
      </c>
      <c r="C471" s="218" t="s">
        <v>853</v>
      </c>
      <c r="D471" s="13" t="s">
        <v>63</v>
      </c>
      <c r="E471" s="21" t="s">
        <v>34</v>
      </c>
      <c r="F471" s="179">
        <v>24.83</v>
      </c>
      <c r="G471" s="40">
        <v>3.2</v>
      </c>
      <c r="H471" s="40">
        <f t="shared" si="48"/>
        <v>4.13</v>
      </c>
      <c r="I471" s="20">
        <f>F471*H471</f>
        <v>102.55</v>
      </c>
      <c r="J471" s="124">
        <f t="shared" si="49"/>
        <v>1.7000000000000001E-4</v>
      </c>
      <c r="K471" s="133"/>
      <c r="L471" s="92"/>
      <c r="M471" s="136"/>
      <c r="N471" s="136"/>
      <c r="O471" s="136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</row>
    <row r="472" spans="1:45" s="32" customFormat="1" ht="38.25" x14ac:dyDescent="0.2">
      <c r="A472" s="30"/>
      <c r="B472" s="22">
        <v>94991</v>
      </c>
      <c r="C472" s="218" t="s">
        <v>854</v>
      </c>
      <c r="D472" s="13" t="s">
        <v>222</v>
      </c>
      <c r="E472" s="21" t="s">
        <v>36</v>
      </c>
      <c r="F472" s="181">
        <v>1.24</v>
      </c>
      <c r="G472" s="40">
        <v>326.01</v>
      </c>
      <c r="H472" s="40">
        <f t="shared" si="48"/>
        <v>420.78</v>
      </c>
      <c r="I472" s="20">
        <f>F472*H472</f>
        <v>521.77</v>
      </c>
      <c r="J472" s="124">
        <f t="shared" si="49"/>
        <v>8.7000000000000001E-4</v>
      </c>
      <c r="K472" s="133"/>
      <c r="L472" s="92"/>
      <c r="M472" s="136"/>
      <c r="N472" s="136"/>
      <c r="O472" s="136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</row>
    <row r="473" spans="1:45" s="32" customFormat="1" ht="51" x14ac:dyDescent="0.2">
      <c r="A473" s="30"/>
      <c r="B473" s="22">
        <v>87251</v>
      </c>
      <c r="C473" s="218" t="s">
        <v>855</v>
      </c>
      <c r="D473" s="11" t="s">
        <v>1209</v>
      </c>
      <c r="E473" s="21" t="s">
        <v>34</v>
      </c>
      <c r="F473" s="179">
        <v>24.83</v>
      </c>
      <c r="G473" s="40">
        <v>22.44</v>
      </c>
      <c r="H473" s="40">
        <f t="shared" si="48"/>
        <v>28.96</v>
      </c>
      <c r="I473" s="20">
        <f>F473*H473</f>
        <v>719.08</v>
      </c>
      <c r="J473" s="124">
        <f t="shared" si="49"/>
        <v>1.1999999999999999E-3</v>
      </c>
      <c r="K473" s="133"/>
      <c r="L473" s="92"/>
      <c r="M473" s="136"/>
      <c r="N473" s="136"/>
      <c r="O473" s="136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</row>
    <row r="474" spans="1:45" s="32" customFormat="1" ht="25.5" x14ac:dyDescent="0.2">
      <c r="A474" s="30"/>
      <c r="B474" s="22">
        <v>98689</v>
      </c>
      <c r="C474" s="218" t="s">
        <v>856</v>
      </c>
      <c r="D474" s="76" t="s">
        <v>148</v>
      </c>
      <c r="E474" s="21" t="s">
        <v>37</v>
      </c>
      <c r="F474" s="179">
        <v>2.4</v>
      </c>
      <c r="G474" s="40">
        <v>52.28</v>
      </c>
      <c r="H474" s="40">
        <f t="shared" si="48"/>
        <v>67.47</v>
      </c>
      <c r="I474" s="20">
        <f>F474*H474</f>
        <v>161.93</v>
      </c>
      <c r="J474" s="124">
        <f t="shared" si="49"/>
        <v>2.7E-4</v>
      </c>
      <c r="K474" s="133"/>
      <c r="L474" s="92"/>
      <c r="M474" s="136"/>
      <c r="N474" s="136"/>
      <c r="O474" s="136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</row>
    <row r="475" spans="1:45" s="32" customFormat="1" ht="25.5" x14ac:dyDescent="0.2">
      <c r="A475" s="30"/>
      <c r="B475" s="22" t="s">
        <v>1235</v>
      </c>
      <c r="C475" s="218" t="s">
        <v>857</v>
      </c>
      <c r="D475" s="12" t="s">
        <v>265</v>
      </c>
      <c r="E475" s="21" t="s">
        <v>34</v>
      </c>
      <c r="F475" s="21">
        <v>22.07</v>
      </c>
      <c r="G475" s="40">
        <v>0.95</v>
      </c>
      <c r="H475" s="40">
        <f t="shared" si="48"/>
        <v>1.22</v>
      </c>
      <c r="I475" s="20">
        <f>F475*H475</f>
        <v>26.93</v>
      </c>
      <c r="J475" s="124">
        <f t="shared" si="49"/>
        <v>5.0000000000000002E-5</v>
      </c>
      <c r="K475" s="133"/>
      <c r="L475" s="92"/>
      <c r="M475" s="136"/>
      <c r="N475" s="136"/>
      <c r="O475" s="136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</row>
    <row r="476" spans="1:45" s="32" customFormat="1" x14ac:dyDescent="0.2">
      <c r="A476" s="30"/>
      <c r="B476" s="22"/>
      <c r="C476" s="226" t="s">
        <v>267</v>
      </c>
      <c r="D476" s="84" t="s">
        <v>150</v>
      </c>
      <c r="E476" s="85"/>
      <c r="F476" s="181"/>
      <c r="G476" s="40"/>
      <c r="H476" s="40"/>
      <c r="I476" s="20"/>
      <c r="J476" s="124"/>
      <c r="K476" s="133"/>
      <c r="L476" s="92"/>
      <c r="M476" s="136"/>
      <c r="N476" s="136"/>
      <c r="O476" s="136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</row>
    <row r="477" spans="1:45" s="32" customFormat="1" ht="63.75" x14ac:dyDescent="0.2">
      <c r="A477" s="30"/>
      <c r="B477" s="22">
        <v>87509</v>
      </c>
      <c r="C477" s="218" t="s">
        <v>858</v>
      </c>
      <c r="D477" s="12" t="s">
        <v>490</v>
      </c>
      <c r="E477" s="19" t="s">
        <v>34</v>
      </c>
      <c r="F477" s="179">
        <v>7.16</v>
      </c>
      <c r="G477" s="40">
        <v>73.62</v>
      </c>
      <c r="H477" s="40">
        <f t="shared" si="48"/>
        <v>95.02</v>
      </c>
      <c r="I477" s="20">
        <f>F477*H477</f>
        <v>680.34</v>
      </c>
      <c r="J477" s="124">
        <f>I477/$I$838</f>
        <v>1.14E-3</v>
      </c>
      <c r="K477" s="133"/>
      <c r="L477" s="92"/>
      <c r="M477" s="136"/>
      <c r="N477" s="136"/>
      <c r="O477" s="136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</row>
    <row r="478" spans="1:45" s="32" customFormat="1" ht="25.5" x14ac:dyDescent="0.2">
      <c r="A478" s="30"/>
      <c r="B478" s="22">
        <v>87879</v>
      </c>
      <c r="C478" s="218" t="s">
        <v>859</v>
      </c>
      <c r="D478" s="12" t="s">
        <v>42</v>
      </c>
      <c r="E478" s="21" t="s">
        <v>34</v>
      </c>
      <c r="F478" s="179">
        <v>60.53</v>
      </c>
      <c r="G478" s="40">
        <v>1.98</v>
      </c>
      <c r="H478" s="40">
        <f t="shared" si="48"/>
        <v>2.5499999999999998</v>
      </c>
      <c r="I478" s="20">
        <f>F478*H478</f>
        <v>154.35</v>
      </c>
      <c r="J478" s="124">
        <f>I478/$I$838</f>
        <v>2.5999999999999998E-4</v>
      </c>
      <c r="K478" s="133"/>
      <c r="L478" s="92"/>
      <c r="M478" s="136"/>
      <c r="N478" s="136"/>
      <c r="O478" s="136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</row>
    <row r="479" spans="1:45" s="32" customFormat="1" ht="51" x14ac:dyDescent="0.2">
      <c r="A479" s="30"/>
      <c r="B479" s="22">
        <v>87529</v>
      </c>
      <c r="C479" s="218" t="s">
        <v>860</v>
      </c>
      <c r="D479" s="12" t="s">
        <v>154</v>
      </c>
      <c r="E479" s="19" t="s">
        <v>34</v>
      </c>
      <c r="F479" s="179">
        <v>60.53</v>
      </c>
      <c r="G479" s="40">
        <v>16.82</v>
      </c>
      <c r="H479" s="40">
        <f t="shared" si="48"/>
        <v>21.7</v>
      </c>
      <c r="I479" s="20">
        <f>F479*H479</f>
        <v>1313.5</v>
      </c>
      <c r="J479" s="124">
        <f>I479/$I$838</f>
        <v>2.2000000000000001E-3</v>
      </c>
      <c r="K479" s="133"/>
      <c r="L479" s="92"/>
      <c r="M479" s="136"/>
      <c r="N479" s="136"/>
      <c r="O479" s="136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</row>
    <row r="480" spans="1:45" s="32" customFormat="1" ht="51" x14ac:dyDescent="0.2">
      <c r="A480" s="30"/>
      <c r="B480" s="22">
        <v>87273</v>
      </c>
      <c r="C480" s="218" t="s">
        <v>861</v>
      </c>
      <c r="D480" s="12" t="s">
        <v>168</v>
      </c>
      <c r="E480" s="19" t="s">
        <v>34</v>
      </c>
      <c r="F480" s="179">
        <v>60.53</v>
      </c>
      <c r="G480" s="40">
        <v>35.94</v>
      </c>
      <c r="H480" s="40">
        <f t="shared" si="48"/>
        <v>46.38</v>
      </c>
      <c r="I480" s="20">
        <f>F480*H480</f>
        <v>2807.38</v>
      </c>
      <c r="J480" s="124">
        <f>I480/$I$838</f>
        <v>4.6899999999999997E-3</v>
      </c>
      <c r="K480" s="133"/>
      <c r="L480" s="92"/>
      <c r="M480" s="136"/>
      <c r="N480" s="136"/>
      <c r="O480" s="136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</row>
    <row r="481" spans="1:45" s="32" customFormat="1" x14ac:dyDescent="0.2">
      <c r="A481" s="30"/>
      <c r="B481" s="22"/>
      <c r="C481" s="226" t="s">
        <v>274</v>
      </c>
      <c r="D481" s="84" t="s">
        <v>165</v>
      </c>
      <c r="E481" s="38"/>
      <c r="F481" s="179"/>
      <c r="G481" s="40"/>
      <c r="H481" s="40"/>
      <c r="I481" s="20"/>
      <c r="J481" s="124"/>
      <c r="K481" s="133"/>
      <c r="L481" s="92"/>
      <c r="M481" s="136"/>
      <c r="N481" s="136"/>
      <c r="O481" s="136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</row>
    <row r="482" spans="1:45" s="32" customFormat="1" ht="63.75" x14ac:dyDescent="0.2">
      <c r="A482" s="30"/>
      <c r="B482" s="22">
        <v>96485</v>
      </c>
      <c r="C482" s="218" t="s">
        <v>862</v>
      </c>
      <c r="D482" s="13" t="s">
        <v>226</v>
      </c>
      <c r="E482" s="21" t="s">
        <v>34</v>
      </c>
      <c r="F482" s="179">
        <v>24.83</v>
      </c>
      <c r="G482" s="40">
        <v>46.55</v>
      </c>
      <c r="H482" s="40">
        <f t="shared" si="48"/>
        <v>60.08</v>
      </c>
      <c r="I482" s="20">
        <f>F482*H482</f>
        <v>1491.79</v>
      </c>
      <c r="J482" s="124">
        <f>I482/$I$838</f>
        <v>2.49E-3</v>
      </c>
      <c r="K482" s="133"/>
      <c r="L482" s="92"/>
      <c r="M482" s="136"/>
      <c r="N482" s="136"/>
      <c r="O482" s="136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</row>
    <row r="483" spans="1:45" s="32" customFormat="1" ht="25.5" x14ac:dyDescent="0.2">
      <c r="A483" s="30"/>
      <c r="B483" s="22">
        <v>96121</v>
      </c>
      <c r="C483" s="218" t="s">
        <v>863</v>
      </c>
      <c r="D483" s="13" t="s">
        <v>227</v>
      </c>
      <c r="E483" s="21" t="s">
        <v>37</v>
      </c>
      <c r="F483" s="179">
        <v>20.100000000000001</v>
      </c>
      <c r="G483" s="40">
        <v>7.03</v>
      </c>
      <c r="H483" s="40">
        <f t="shared" si="48"/>
        <v>9.07</v>
      </c>
      <c r="I483" s="20">
        <f>F483*H483</f>
        <v>182.31</v>
      </c>
      <c r="J483" s="124">
        <f>I483/$I$838</f>
        <v>2.9999999999999997E-4</v>
      </c>
      <c r="K483" s="133"/>
      <c r="L483" s="92"/>
      <c r="M483" s="136"/>
      <c r="N483" s="136"/>
      <c r="O483" s="136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</row>
    <row r="484" spans="1:45" s="32" customFormat="1" x14ac:dyDescent="0.2">
      <c r="A484" s="30"/>
      <c r="B484" s="22"/>
      <c r="C484" s="226" t="s">
        <v>275</v>
      </c>
      <c r="D484" s="86" t="s">
        <v>153</v>
      </c>
      <c r="E484" s="21"/>
      <c r="F484" s="179"/>
      <c r="G484" s="40"/>
      <c r="H484" s="40"/>
      <c r="I484" s="20"/>
      <c r="J484" s="124"/>
      <c r="K484" s="133"/>
      <c r="L484" s="92"/>
      <c r="M484" s="136"/>
      <c r="N484" s="136"/>
      <c r="O484" s="136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</row>
    <row r="485" spans="1:45" s="32" customFormat="1" ht="25.5" x14ac:dyDescent="0.2">
      <c r="A485" s="30"/>
      <c r="B485" s="22">
        <v>98689</v>
      </c>
      <c r="C485" s="218" t="s">
        <v>864</v>
      </c>
      <c r="D485" s="76" t="s">
        <v>159</v>
      </c>
      <c r="E485" s="21" t="s">
        <v>37</v>
      </c>
      <c r="F485" s="179">
        <v>2.5</v>
      </c>
      <c r="G485" s="40">
        <v>52.28</v>
      </c>
      <c r="H485" s="40">
        <f t="shared" si="48"/>
        <v>67.47</v>
      </c>
      <c r="I485" s="20">
        <f>F485*H485</f>
        <v>168.68</v>
      </c>
      <c r="J485" s="124">
        <f t="shared" ref="J485:J491" si="50">I485/$I$838</f>
        <v>2.7999999999999998E-4</v>
      </c>
      <c r="K485" s="133"/>
      <c r="L485" s="92"/>
      <c r="M485" s="136"/>
      <c r="N485" s="136"/>
      <c r="O485" s="136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</row>
    <row r="486" spans="1:45" s="32" customFormat="1" ht="89.25" x14ac:dyDescent="0.2">
      <c r="A486" s="30"/>
      <c r="B486" s="22" t="s">
        <v>1253</v>
      </c>
      <c r="C486" s="218" t="s">
        <v>865</v>
      </c>
      <c r="D486" s="13" t="s">
        <v>1256</v>
      </c>
      <c r="E486" s="21" t="s">
        <v>35</v>
      </c>
      <c r="F486" s="179">
        <v>2</v>
      </c>
      <c r="G486" s="40">
        <v>517.25</v>
      </c>
      <c r="H486" s="40">
        <f t="shared" si="48"/>
        <v>667.61</v>
      </c>
      <c r="I486" s="20">
        <f>F486*H486</f>
        <v>1335.22</v>
      </c>
      <c r="J486" s="124">
        <f t="shared" si="50"/>
        <v>2.2300000000000002E-3</v>
      </c>
      <c r="K486" s="133"/>
      <c r="L486" s="92"/>
      <c r="M486" s="136"/>
      <c r="N486" s="136"/>
      <c r="O486" s="136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</row>
    <row r="487" spans="1:45" s="32" customFormat="1" ht="38.25" x14ac:dyDescent="0.2">
      <c r="A487" s="30"/>
      <c r="B487" s="22">
        <v>91306</v>
      </c>
      <c r="C487" s="218" t="s">
        <v>866</v>
      </c>
      <c r="D487" s="13" t="s">
        <v>1260</v>
      </c>
      <c r="E487" s="21" t="s">
        <v>35</v>
      </c>
      <c r="F487" s="179">
        <f>F486</f>
        <v>2</v>
      </c>
      <c r="G487" s="40">
        <v>79.69</v>
      </c>
      <c r="H487" s="40">
        <f t="shared" si="48"/>
        <v>102.85</v>
      </c>
      <c r="I487" s="20">
        <f>F487*H487</f>
        <v>205.7</v>
      </c>
      <c r="J487" s="124">
        <f>I487/$I$838</f>
        <v>3.4000000000000002E-4</v>
      </c>
      <c r="K487" s="133"/>
      <c r="L487" s="92"/>
      <c r="M487" s="136"/>
      <c r="N487" s="136"/>
      <c r="O487" s="136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</row>
    <row r="488" spans="1:45" s="32" customFormat="1" ht="25.5" x14ac:dyDescent="0.2">
      <c r="A488" s="30"/>
      <c r="B488" s="105">
        <v>91341</v>
      </c>
      <c r="C488" s="218" t="s">
        <v>867</v>
      </c>
      <c r="D488" s="76" t="s">
        <v>278</v>
      </c>
      <c r="E488" s="21" t="s">
        <v>34</v>
      </c>
      <c r="F488" s="179">
        <v>1.68</v>
      </c>
      <c r="G488" s="40">
        <v>517.35</v>
      </c>
      <c r="H488" s="40">
        <f t="shared" si="48"/>
        <v>667.74</v>
      </c>
      <c r="I488" s="20">
        <f>F488*H488</f>
        <v>1121.8</v>
      </c>
      <c r="J488" s="124">
        <f t="shared" si="50"/>
        <v>1.8799999999999999E-3</v>
      </c>
      <c r="K488" s="133"/>
      <c r="L488" s="92"/>
      <c r="M488" s="136"/>
      <c r="N488" s="136"/>
      <c r="O488" s="136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</row>
    <row r="489" spans="1:45" s="32" customFormat="1" ht="25.5" x14ac:dyDescent="0.2">
      <c r="A489" s="30"/>
      <c r="B489" s="105">
        <v>91341</v>
      </c>
      <c r="C489" s="218" t="s">
        <v>868</v>
      </c>
      <c r="D489" s="76" t="s">
        <v>1085</v>
      </c>
      <c r="E489" s="21" t="s">
        <v>34</v>
      </c>
      <c r="F489" s="179">
        <v>0.96</v>
      </c>
      <c r="G489" s="40">
        <v>517.35</v>
      </c>
      <c r="H489" s="40">
        <f t="shared" si="48"/>
        <v>667.74</v>
      </c>
      <c r="I489" s="20">
        <f>F489*H489</f>
        <v>641.03</v>
      </c>
      <c r="J489" s="124">
        <f t="shared" si="50"/>
        <v>1.07E-3</v>
      </c>
      <c r="K489" s="133"/>
      <c r="L489" s="92"/>
      <c r="M489" s="136"/>
      <c r="N489" s="136"/>
      <c r="O489" s="136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</row>
    <row r="490" spans="1:45" s="32" customFormat="1" ht="38.25" x14ac:dyDescent="0.2">
      <c r="A490" s="30"/>
      <c r="B490" s="22" t="s">
        <v>121</v>
      </c>
      <c r="C490" s="218" t="s">
        <v>1084</v>
      </c>
      <c r="D490" s="13" t="s">
        <v>279</v>
      </c>
      <c r="E490" s="21" t="s">
        <v>35</v>
      </c>
      <c r="F490" s="179">
        <v>1</v>
      </c>
      <c r="G490" s="40">
        <v>697.26</v>
      </c>
      <c r="H490" s="40">
        <f t="shared" si="48"/>
        <v>899.95</v>
      </c>
      <c r="I490" s="20">
        <f>F490*H490</f>
        <v>899.95</v>
      </c>
      <c r="J490" s="124">
        <f t="shared" si="50"/>
        <v>1.5E-3</v>
      </c>
      <c r="K490" s="133"/>
      <c r="L490" s="92"/>
      <c r="M490" s="136"/>
      <c r="N490" s="136"/>
      <c r="O490" s="136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</row>
    <row r="491" spans="1:45" s="32" customFormat="1" ht="25.5" x14ac:dyDescent="0.2">
      <c r="A491" s="30"/>
      <c r="B491" s="22" t="s">
        <v>121</v>
      </c>
      <c r="C491" s="218" t="s">
        <v>1267</v>
      </c>
      <c r="D491" s="13" t="s">
        <v>280</v>
      </c>
      <c r="E491" s="21" t="s">
        <v>35</v>
      </c>
      <c r="F491" s="179">
        <v>4</v>
      </c>
      <c r="G491" s="40">
        <v>14.25</v>
      </c>
      <c r="H491" s="40">
        <f t="shared" si="48"/>
        <v>18.39</v>
      </c>
      <c r="I491" s="20">
        <f>F491*H491</f>
        <v>73.56</v>
      </c>
      <c r="J491" s="124">
        <f t="shared" si="50"/>
        <v>1.2E-4</v>
      </c>
      <c r="K491" s="133"/>
      <c r="L491" s="92"/>
      <c r="M491" s="136"/>
      <c r="N491" s="136"/>
      <c r="O491" s="136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</row>
    <row r="492" spans="1:45" s="32" customFormat="1" x14ac:dyDescent="0.2">
      <c r="A492" s="30"/>
      <c r="B492" s="22"/>
      <c r="C492" s="227" t="s">
        <v>277</v>
      </c>
      <c r="D492" s="84" t="s">
        <v>276</v>
      </c>
      <c r="E492" s="19"/>
      <c r="F492" s="179"/>
      <c r="G492" s="40"/>
      <c r="H492" s="40"/>
      <c r="I492" s="20"/>
      <c r="J492" s="124"/>
      <c r="K492" s="133"/>
      <c r="L492" s="92"/>
      <c r="M492" s="136"/>
      <c r="N492" s="136"/>
      <c r="O492" s="136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</row>
    <row r="493" spans="1:45" s="32" customFormat="1" ht="51" x14ac:dyDescent="0.2">
      <c r="A493" s="30"/>
      <c r="B493" s="22">
        <v>86900</v>
      </c>
      <c r="C493" s="228" t="s">
        <v>869</v>
      </c>
      <c r="D493" s="13" t="s">
        <v>281</v>
      </c>
      <c r="E493" s="19" t="s">
        <v>35</v>
      </c>
      <c r="F493" s="179">
        <v>2</v>
      </c>
      <c r="G493" s="40">
        <v>109.31</v>
      </c>
      <c r="H493" s="40">
        <f t="shared" si="48"/>
        <v>141.08000000000001</v>
      </c>
      <c r="I493" s="20">
        <f>F493*H493</f>
        <v>282.16000000000003</v>
      </c>
      <c r="J493" s="124">
        <f>I493/$I$838</f>
        <v>4.6999999999999999E-4</v>
      </c>
      <c r="K493" s="133"/>
      <c r="L493" s="92"/>
      <c r="M493" s="136"/>
      <c r="N493" s="136"/>
      <c r="O493" s="136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</row>
    <row r="494" spans="1:45" s="32" customFormat="1" ht="51" x14ac:dyDescent="0.2">
      <c r="A494" s="30"/>
      <c r="B494" s="22" t="s">
        <v>1227</v>
      </c>
      <c r="C494" s="228" t="s">
        <v>870</v>
      </c>
      <c r="D494" s="12" t="s">
        <v>282</v>
      </c>
      <c r="E494" s="21" t="s">
        <v>34</v>
      </c>
      <c r="F494" s="179">
        <v>1.32</v>
      </c>
      <c r="G494" s="40">
        <v>338.69</v>
      </c>
      <c r="H494" s="40">
        <f t="shared" si="48"/>
        <v>437.14</v>
      </c>
      <c r="I494" s="20">
        <f>F494*H494</f>
        <v>577.02</v>
      </c>
      <c r="J494" s="124">
        <f>I494/$I$838</f>
        <v>9.6000000000000002E-4</v>
      </c>
      <c r="K494" s="133"/>
      <c r="L494" s="92"/>
      <c r="M494" s="136"/>
      <c r="N494" s="136"/>
      <c r="O494" s="136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</row>
    <row r="495" spans="1:45" s="32" customFormat="1" ht="38.25" x14ac:dyDescent="0.2">
      <c r="A495" s="30"/>
      <c r="B495" s="22">
        <v>86909</v>
      </c>
      <c r="C495" s="228" t="s">
        <v>871</v>
      </c>
      <c r="D495" s="12" t="s">
        <v>1186</v>
      </c>
      <c r="E495" s="21" t="s">
        <v>35</v>
      </c>
      <c r="F495" s="179">
        <v>2</v>
      </c>
      <c r="G495" s="40">
        <v>70.88</v>
      </c>
      <c r="H495" s="40">
        <f t="shared" si="48"/>
        <v>91.48</v>
      </c>
      <c r="I495" s="20">
        <f>F495*H495</f>
        <v>182.96</v>
      </c>
      <c r="J495" s="124">
        <f>I495/$I$838</f>
        <v>3.1E-4</v>
      </c>
      <c r="K495" s="133"/>
      <c r="L495" s="92"/>
      <c r="M495" s="136"/>
      <c r="N495" s="136"/>
      <c r="O495" s="136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</row>
    <row r="496" spans="1:45" s="32" customFormat="1" ht="51" x14ac:dyDescent="0.2">
      <c r="A496" s="30"/>
      <c r="B496" s="22" t="s">
        <v>1227</v>
      </c>
      <c r="C496" s="228" t="s">
        <v>872</v>
      </c>
      <c r="D496" s="12" t="s">
        <v>283</v>
      </c>
      <c r="E496" s="21" t="s">
        <v>34</v>
      </c>
      <c r="F496" s="179">
        <v>2.2799999999999998</v>
      </c>
      <c r="G496" s="40">
        <v>338.69</v>
      </c>
      <c r="H496" s="40">
        <f t="shared" si="48"/>
        <v>437.14</v>
      </c>
      <c r="I496" s="20">
        <f>F496*H496</f>
        <v>996.68</v>
      </c>
      <c r="J496" s="124">
        <f>I496/$I$838</f>
        <v>1.67E-3</v>
      </c>
      <c r="K496" s="133"/>
      <c r="L496" s="92"/>
      <c r="M496" s="136"/>
      <c r="N496" s="136"/>
      <c r="O496" s="136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</row>
    <row r="497" spans="1:45" s="32" customFormat="1" ht="51" x14ac:dyDescent="0.2">
      <c r="A497" s="30"/>
      <c r="B497" s="22" t="s">
        <v>1227</v>
      </c>
      <c r="C497" s="228" t="s">
        <v>851</v>
      </c>
      <c r="D497" s="12" t="s">
        <v>284</v>
      </c>
      <c r="E497" s="21" t="s">
        <v>34</v>
      </c>
      <c r="F497" s="179">
        <v>1.1200000000000001</v>
      </c>
      <c r="G497" s="40">
        <v>338.69</v>
      </c>
      <c r="H497" s="40">
        <f t="shared" si="48"/>
        <v>437.14</v>
      </c>
      <c r="I497" s="20">
        <f>F497*H497</f>
        <v>489.6</v>
      </c>
      <c r="J497" s="124">
        <f>I497/$I$838</f>
        <v>8.1999999999999998E-4</v>
      </c>
      <c r="K497" s="133"/>
      <c r="L497" s="92"/>
      <c r="M497" s="136"/>
      <c r="N497" s="136"/>
      <c r="O497" s="136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</row>
    <row r="498" spans="1:45" s="32" customFormat="1" x14ac:dyDescent="0.2">
      <c r="A498" s="30"/>
      <c r="B498" s="22"/>
      <c r="C498" s="247"/>
      <c r="D498" s="316" t="s">
        <v>210</v>
      </c>
      <c r="E498" s="316"/>
      <c r="F498" s="316"/>
      <c r="G498" s="316"/>
      <c r="H498" s="317"/>
      <c r="I498" s="109">
        <f>SUM(I468:I497)</f>
        <v>15342.75</v>
      </c>
      <c r="J498" s="124"/>
      <c r="K498" s="133"/>
      <c r="L498" s="92"/>
      <c r="M498" s="136"/>
      <c r="N498" s="136"/>
      <c r="O498" s="136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</row>
    <row r="499" spans="1:45" s="32" customFormat="1" x14ac:dyDescent="0.2">
      <c r="A499" s="30"/>
      <c r="B499" s="22"/>
      <c r="C499" s="229" t="s">
        <v>213</v>
      </c>
      <c r="D499" s="128" t="s">
        <v>212</v>
      </c>
      <c r="E499" s="56"/>
      <c r="F499" s="180"/>
      <c r="G499" s="57"/>
      <c r="H499" s="57"/>
      <c r="I499" s="58"/>
      <c r="J499" s="124"/>
      <c r="K499" s="133"/>
      <c r="L499" s="92"/>
      <c r="M499" s="136"/>
      <c r="N499" s="136"/>
      <c r="O499" s="136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</row>
    <row r="500" spans="1:45" s="32" customFormat="1" x14ac:dyDescent="0.2">
      <c r="A500" s="30"/>
      <c r="B500" s="22"/>
      <c r="C500" s="226" t="s">
        <v>432</v>
      </c>
      <c r="D500" s="84" t="s">
        <v>147</v>
      </c>
      <c r="E500" s="21"/>
      <c r="F500" s="181"/>
      <c r="G500" s="40"/>
      <c r="H500" s="40"/>
      <c r="I500" s="20"/>
      <c r="J500" s="124"/>
      <c r="K500" s="133"/>
      <c r="L500" s="92"/>
      <c r="M500" s="136"/>
      <c r="N500" s="136"/>
      <c r="O500" s="136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</row>
    <row r="501" spans="1:45" s="32" customFormat="1" ht="38.25" x14ac:dyDescent="0.2">
      <c r="A501" s="30"/>
      <c r="B501" s="22">
        <v>94319</v>
      </c>
      <c r="C501" s="218" t="s">
        <v>873</v>
      </c>
      <c r="D501" s="217" t="s">
        <v>356</v>
      </c>
      <c r="E501" s="21" t="s">
        <v>36</v>
      </c>
      <c r="F501" s="179">
        <v>1.78</v>
      </c>
      <c r="G501" s="40">
        <v>21.94</v>
      </c>
      <c r="H501" s="40">
        <f t="shared" ref="H501:H517" si="51">TRUNC((G501*(1+$I$6)),2)</f>
        <v>28.31</v>
      </c>
      <c r="I501" s="20">
        <f>F501*H501</f>
        <v>50.39</v>
      </c>
      <c r="J501" s="124">
        <f t="shared" ref="J501:J506" si="52">I501/$I$838</f>
        <v>8.0000000000000007E-5</v>
      </c>
      <c r="K501" s="133"/>
      <c r="L501" s="92"/>
      <c r="M501" s="136"/>
      <c r="N501" s="136"/>
      <c r="O501" s="136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</row>
    <row r="502" spans="1:45" s="32" customFormat="1" ht="25.5" x14ac:dyDescent="0.2">
      <c r="A502" s="30"/>
      <c r="B502" s="22">
        <v>96624</v>
      </c>
      <c r="C502" s="218" t="s">
        <v>874</v>
      </c>
      <c r="D502" s="12" t="s">
        <v>38</v>
      </c>
      <c r="E502" s="21" t="s">
        <v>36</v>
      </c>
      <c r="F502" s="179">
        <v>0.59</v>
      </c>
      <c r="G502" s="40">
        <v>63.2</v>
      </c>
      <c r="H502" s="40">
        <f t="shared" si="51"/>
        <v>81.569999999999993</v>
      </c>
      <c r="I502" s="20">
        <f>F502*H502</f>
        <v>48.13</v>
      </c>
      <c r="J502" s="124">
        <f t="shared" si="52"/>
        <v>8.0000000000000007E-5</v>
      </c>
      <c r="K502" s="133"/>
      <c r="L502" s="92"/>
      <c r="M502" s="136"/>
      <c r="N502" s="136"/>
      <c r="O502" s="136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</row>
    <row r="503" spans="1:45" s="32" customFormat="1" ht="25.5" x14ac:dyDescent="0.2">
      <c r="A503" s="30"/>
      <c r="B503" s="22" t="s">
        <v>1226</v>
      </c>
      <c r="C503" s="218" t="s">
        <v>875</v>
      </c>
      <c r="D503" s="13" t="s">
        <v>63</v>
      </c>
      <c r="E503" s="21" t="s">
        <v>34</v>
      </c>
      <c r="F503" s="179">
        <v>11.89</v>
      </c>
      <c r="G503" s="40">
        <v>3.2</v>
      </c>
      <c r="H503" s="40">
        <f t="shared" si="51"/>
        <v>4.13</v>
      </c>
      <c r="I503" s="20">
        <f>F503*H503</f>
        <v>49.11</v>
      </c>
      <c r="J503" s="124">
        <f t="shared" si="52"/>
        <v>8.0000000000000007E-5</v>
      </c>
      <c r="K503" s="133"/>
      <c r="L503" s="92"/>
      <c r="M503" s="136"/>
      <c r="N503" s="136"/>
      <c r="O503" s="136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</row>
    <row r="504" spans="1:45" s="32" customFormat="1" ht="38.25" x14ac:dyDescent="0.2">
      <c r="A504" s="30"/>
      <c r="B504" s="22">
        <v>94991</v>
      </c>
      <c r="C504" s="218" t="s">
        <v>876</v>
      </c>
      <c r="D504" s="13" t="s">
        <v>222</v>
      </c>
      <c r="E504" s="21" t="s">
        <v>36</v>
      </c>
      <c r="F504" s="181">
        <v>0.59</v>
      </c>
      <c r="G504" s="40">
        <v>326.01</v>
      </c>
      <c r="H504" s="40">
        <f t="shared" si="51"/>
        <v>420.78</v>
      </c>
      <c r="I504" s="20">
        <f>F504*H504</f>
        <v>248.26</v>
      </c>
      <c r="J504" s="124">
        <f t="shared" si="52"/>
        <v>4.2000000000000002E-4</v>
      </c>
      <c r="K504" s="133"/>
      <c r="L504" s="92"/>
      <c r="M504" s="136"/>
      <c r="N504" s="136"/>
      <c r="O504" s="136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</row>
    <row r="505" spans="1:45" s="32" customFormat="1" ht="51" x14ac:dyDescent="0.2">
      <c r="A505" s="30"/>
      <c r="B505" s="22">
        <v>87251</v>
      </c>
      <c r="C505" s="218" t="s">
        <v>877</v>
      </c>
      <c r="D505" s="11" t="s">
        <v>1209</v>
      </c>
      <c r="E505" s="21" t="s">
        <v>34</v>
      </c>
      <c r="F505" s="179">
        <v>11.89</v>
      </c>
      <c r="G505" s="40">
        <v>22.44</v>
      </c>
      <c r="H505" s="40">
        <f t="shared" si="51"/>
        <v>28.96</v>
      </c>
      <c r="I505" s="20">
        <f>F505*H505</f>
        <v>344.33</v>
      </c>
      <c r="J505" s="124">
        <f t="shared" si="52"/>
        <v>5.8E-4</v>
      </c>
      <c r="K505" s="133"/>
      <c r="L505" s="92"/>
      <c r="M505" s="136"/>
      <c r="N505" s="136"/>
      <c r="O505" s="136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</row>
    <row r="506" spans="1:45" s="32" customFormat="1" ht="25.5" x14ac:dyDescent="0.2">
      <c r="A506" s="30"/>
      <c r="B506" s="22">
        <v>98689</v>
      </c>
      <c r="C506" s="218" t="s">
        <v>878</v>
      </c>
      <c r="D506" s="76" t="s">
        <v>148</v>
      </c>
      <c r="E506" s="21" t="s">
        <v>37</v>
      </c>
      <c r="F506" s="179">
        <v>0.8</v>
      </c>
      <c r="G506" s="40">
        <v>52.28</v>
      </c>
      <c r="H506" s="40">
        <f t="shared" si="51"/>
        <v>67.47</v>
      </c>
      <c r="I506" s="20">
        <f>F506*H506</f>
        <v>53.98</v>
      </c>
      <c r="J506" s="124">
        <f t="shared" si="52"/>
        <v>9.0000000000000006E-5</v>
      </c>
      <c r="K506" s="133"/>
      <c r="L506" s="92"/>
      <c r="M506" s="136"/>
      <c r="N506" s="136"/>
      <c r="O506" s="136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</row>
    <row r="507" spans="1:45" s="32" customFormat="1" x14ac:dyDescent="0.2">
      <c r="A507" s="30"/>
      <c r="B507" s="22"/>
      <c r="C507" s="226" t="s">
        <v>433</v>
      </c>
      <c r="D507" s="84" t="s">
        <v>150</v>
      </c>
      <c r="E507" s="85"/>
      <c r="F507" s="181"/>
      <c r="G507" s="40"/>
      <c r="H507" s="40"/>
      <c r="I507" s="20"/>
      <c r="J507" s="124"/>
      <c r="K507" s="133"/>
      <c r="L507" s="92"/>
      <c r="M507" s="136"/>
      <c r="N507" s="136"/>
      <c r="O507" s="136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</row>
    <row r="508" spans="1:45" s="32" customFormat="1" ht="25.5" x14ac:dyDescent="0.2">
      <c r="A508" s="30"/>
      <c r="B508" s="22">
        <v>87879</v>
      </c>
      <c r="C508" s="218" t="s">
        <v>879</v>
      </c>
      <c r="D508" s="12" t="s">
        <v>42</v>
      </c>
      <c r="E508" s="21" t="s">
        <v>34</v>
      </c>
      <c r="F508" s="179">
        <v>37.799999999999997</v>
      </c>
      <c r="G508" s="40">
        <v>1.98</v>
      </c>
      <c r="H508" s="40">
        <f t="shared" si="51"/>
        <v>2.5499999999999998</v>
      </c>
      <c r="I508" s="20">
        <f>F508*H508</f>
        <v>96.39</v>
      </c>
      <c r="J508" s="124">
        <f>I508/$I$838</f>
        <v>1.6000000000000001E-4</v>
      </c>
      <c r="K508" s="133"/>
      <c r="L508" s="92"/>
      <c r="M508" s="136"/>
      <c r="N508" s="136"/>
      <c r="O508" s="136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</row>
    <row r="509" spans="1:45" s="32" customFormat="1" ht="51" x14ac:dyDescent="0.2">
      <c r="A509" s="30"/>
      <c r="B509" s="22">
        <v>87529</v>
      </c>
      <c r="C509" s="218" t="s">
        <v>880</v>
      </c>
      <c r="D509" s="12" t="s">
        <v>154</v>
      </c>
      <c r="E509" s="19" t="s">
        <v>34</v>
      </c>
      <c r="F509" s="179">
        <v>37.799999999999997</v>
      </c>
      <c r="G509" s="40">
        <v>16.82</v>
      </c>
      <c r="H509" s="40">
        <f t="shared" si="51"/>
        <v>21.7</v>
      </c>
      <c r="I509" s="20">
        <f>F509*H509</f>
        <v>820.26</v>
      </c>
      <c r="J509" s="124">
        <f>I509/$I$838</f>
        <v>1.3699999999999999E-3</v>
      </c>
      <c r="K509" s="133"/>
      <c r="L509" s="92"/>
      <c r="M509" s="136"/>
      <c r="N509" s="136"/>
      <c r="O509" s="136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</row>
    <row r="510" spans="1:45" s="32" customFormat="1" ht="51" x14ac:dyDescent="0.2">
      <c r="A510" s="30"/>
      <c r="B510" s="22">
        <v>87273</v>
      </c>
      <c r="C510" s="218" t="s">
        <v>881</v>
      </c>
      <c r="D510" s="12" t="s">
        <v>168</v>
      </c>
      <c r="E510" s="19" t="s">
        <v>34</v>
      </c>
      <c r="F510" s="179">
        <v>37.799999999999997</v>
      </c>
      <c r="G510" s="40">
        <v>35.94</v>
      </c>
      <c r="H510" s="40">
        <f t="shared" si="51"/>
        <v>46.38</v>
      </c>
      <c r="I510" s="20">
        <f>F510*H510</f>
        <v>1753.16</v>
      </c>
      <c r="J510" s="124">
        <f>I510/$I$838</f>
        <v>2.9299999999999999E-3</v>
      </c>
      <c r="K510" s="133"/>
      <c r="L510" s="92"/>
      <c r="M510" s="136"/>
      <c r="N510" s="136"/>
      <c r="O510" s="136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</row>
    <row r="511" spans="1:45" s="32" customFormat="1" x14ac:dyDescent="0.2">
      <c r="A511" s="30"/>
      <c r="B511" s="22"/>
      <c r="C511" s="226" t="s">
        <v>434</v>
      </c>
      <c r="D511" s="84" t="s">
        <v>165</v>
      </c>
      <c r="E511" s="38"/>
      <c r="F511" s="179"/>
      <c r="G511" s="40"/>
      <c r="H511" s="40"/>
      <c r="I511" s="20"/>
      <c r="J511" s="124"/>
      <c r="K511" s="133"/>
      <c r="L511" s="92"/>
      <c r="M511" s="136"/>
      <c r="N511" s="136"/>
      <c r="O511" s="136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</row>
    <row r="512" spans="1:45" s="32" customFormat="1" ht="63.75" x14ac:dyDescent="0.2">
      <c r="A512" s="30"/>
      <c r="B512" s="22">
        <v>96485</v>
      </c>
      <c r="C512" s="218" t="s">
        <v>882</v>
      </c>
      <c r="D512" s="13" t="s">
        <v>226</v>
      </c>
      <c r="E512" s="21" t="s">
        <v>34</v>
      </c>
      <c r="F512" s="179">
        <v>11.89</v>
      </c>
      <c r="G512" s="40">
        <v>46.55</v>
      </c>
      <c r="H512" s="40">
        <f t="shared" si="51"/>
        <v>60.08</v>
      </c>
      <c r="I512" s="20">
        <f>F512*H512</f>
        <v>714.35</v>
      </c>
      <c r="J512" s="124">
        <f>I512/$I$838</f>
        <v>1.1900000000000001E-3</v>
      </c>
      <c r="K512" s="133"/>
      <c r="L512" s="92"/>
      <c r="M512" s="136"/>
      <c r="N512" s="136"/>
      <c r="O512" s="136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</row>
    <row r="513" spans="1:45" s="32" customFormat="1" ht="25.5" x14ac:dyDescent="0.2">
      <c r="A513" s="30"/>
      <c r="B513" s="22">
        <v>96121</v>
      </c>
      <c r="C513" s="218" t="s">
        <v>883</v>
      </c>
      <c r="D513" s="13" t="s">
        <v>227</v>
      </c>
      <c r="E513" s="21" t="s">
        <v>37</v>
      </c>
      <c r="F513" s="179">
        <v>14.02</v>
      </c>
      <c r="G513" s="40">
        <v>7.03</v>
      </c>
      <c r="H513" s="40">
        <f t="shared" si="51"/>
        <v>9.07</v>
      </c>
      <c r="I513" s="20">
        <f>F513*H513</f>
        <v>127.16</v>
      </c>
      <c r="J513" s="124">
        <f>I513/$I$838</f>
        <v>2.1000000000000001E-4</v>
      </c>
      <c r="K513" s="133"/>
      <c r="L513" s="92"/>
      <c r="M513" s="136"/>
      <c r="N513" s="136"/>
      <c r="O513" s="136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</row>
    <row r="514" spans="1:45" s="32" customFormat="1" x14ac:dyDescent="0.2">
      <c r="A514" s="30"/>
      <c r="B514" s="22"/>
      <c r="C514" s="226" t="s">
        <v>435</v>
      </c>
      <c r="D514" s="86" t="s">
        <v>153</v>
      </c>
      <c r="E514" s="21"/>
      <c r="F514" s="179"/>
      <c r="G514" s="40"/>
      <c r="H514" s="40"/>
      <c r="I514" s="20"/>
      <c r="J514" s="124"/>
      <c r="K514" s="133"/>
      <c r="L514" s="92"/>
      <c r="M514" s="136"/>
      <c r="N514" s="136"/>
      <c r="O514" s="136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</row>
    <row r="515" spans="1:45" s="32" customFormat="1" ht="25.5" x14ac:dyDescent="0.2">
      <c r="A515" s="30"/>
      <c r="B515" s="22">
        <v>98689</v>
      </c>
      <c r="C515" s="218" t="s">
        <v>884</v>
      </c>
      <c r="D515" s="76" t="s">
        <v>159</v>
      </c>
      <c r="E515" s="21" t="s">
        <v>37</v>
      </c>
      <c r="F515" s="179">
        <v>1.5</v>
      </c>
      <c r="G515" s="40">
        <v>52.28</v>
      </c>
      <c r="H515" s="40">
        <f t="shared" si="51"/>
        <v>67.47</v>
      </c>
      <c r="I515" s="20">
        <f>F515*H515</f>
        <v>101.21</v>
      </c>
      <c r="J515" s="124">
        <f>I515/$I$838</f>
        <v>1.7000000000000001E-4</v>
      </c>
      <c r="K515" s="133"/>
      <c r="L515" s="92"/>
      <c r="M515" s="136"/>
      <c r="N515" s="136"/>
      <c r="O515" s="136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</row>
    <row r="516" spans="1:45" s="32" customFormat="1" ht="25.5" x14ac:dyDescent="0.2">
      <c r="A516" s="30"/>
      <c r="B516" s="105">
        <v>91341</v>
      </c>
      <c r="C516" s="218" t="s">
        <v>885</v>
      </c>
      <c r="D516" s="76" t="s">
        <v>258</v>
      </c>
      <c r="E516" s="21" t="s">
        <v>34</v>
      </c>
      <c r="F516" s="179">
        <v>1.68</v>
      </c>
      <c r="G516" s="40">
        <v>517.35</v>
      </c>
      <c r="H516" s="40">
        <f t="shared" si="51"/>
        <v>667.74</v>
      </c>
      <c r="I516" s="20">
        <f>F516*H516</f>
        <v>1121.8</v>
      </c>
      <c r="J516" s="124">
        <f>I516/$I$838</f>
        <v>1.8799999999999999E-3</v>
      </c>
      <c r="K516" s="133"/>
      <c r="L516" s="92"/>
      <c r="M516" s="136"/>
      <c r="N516" s="136"/>
      <c r="O516" s="136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</row>
    <row r="517" spans="1:45" s="32" customFormat="1" ht="38.25" x14ac:dyDescent="0.2">
      <c r="A517" s="30"/>
      <c r="B517" s="22" t="s">
        <v>121</v>
      </c>
      <c r="C517" s="218" t="s">
        <v>886</v>
      </c>
      <c r="D517" s="13" t="s">
        <v>245</v>
      </c>
      <c r="E517" s="21" t="s">
        <v>35</v>
      </c>
      <c r="F517" s="179">
        <v>1</v>
      </c>
      <c r="G517" s="40">
        <v>551.44000000000005</v>
      </c>
      <c r="H517" s="40">
        <f t="shared" si="51"/>
        <v>711.74</v>
      </c>
      <c r="I517" s="20">
        <f>F517*H517</f>
        <v>711.74</v>
      </c>
      <c r="J517" s="124">
        <f>I517/$I$838</f>
        <v>1.1900000000000001E-3</v>
      </c>
      <c r="K517" s="133"/>
      <c r="L517" s="92"/>
      <c r="M517" s="136"/>
      <c r="N517" s="136"/>
      <c r="O517" s="136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</row>
    <row r="518" spans="1:45" s="32" customFormat="1" x14ac:dyDescent="0.2">
      <c r="A518" s="30"/>
      <c r="B518" s="22"/>
      <c r="C518" s="247"/>
      <c r="D518" s="316" t="s">
        <v>214</v>
      </c>
      <c r="E518" s="316"/>
      <c r="F518" s="316"/>
      <c r="G518" s="316"/>
      <c r="H518" s="317"/>
      <c r="I518" s="109">
        <f>SUM(I500:I517)</f>
        <v>6240.27</v>
      </c>
      <c r="J518" s="124"/>
      <c r="K518" s="133"/>
      <c r="L518" s="92"/>
      <c r="M518" s="136"/>
      <c r="N518" s="136"/>
      <c r="O518" s="136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</row>
    <row r="519" spans="1:45" s="32" customFormat="1" x14ac:dyDescent="0.2">
      <c r="A519" s="30"/>
      <c r="B519" s="22"/>
      <c r="C519" s="229" t="s">
        <v>215</v>
      </c>
      <c r="D519" s="128" t="s">
        <v>217</v>
      </c>
      <c r="E519" s="56"/>
      <c r="F519" s="180"/>
      <c r="G519" s="57"/>
      <c r="H519" s="57"/>
      <c r="I519" s="58"/>
      <c r="J519" s="124"/>
      <c r="K519" s="133"/>
      <c r="L519" s="92"/>
      <c r="M519" s="136"/>
      <c r="N519" s="136"/>
      <c r="O519" s="136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</row>
    <row r="520" spans="1:45" s="32" customFormat="1" x14ac:dyDescent="0.2">
      <c r="A520" s="30"/>
      <c r="B520" s="22"/>
      <c r="C520" s="226" t="s">
        <v>436</v>
      </c>
      <c r="D520" s="86" t="s">
        <v>144</v>
      </c>
      <c r="E520" s="21"/>
      <c r="F520" s="179"/>
      <c r="G520" s="40"/>
      <c r="H520" s="40"/>
      <c r="I520" s="20"/>
      <c r="J520" s="124"/>
      <c r="K520" s="133"/>
      <c r="L520" s="92"/>
      <c r="M520" s="136"/>
      <c r="N520" s="136"/>
      <c r="O520" s="136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</row>
    <row r="521" spans="1:45" s="32" customFormat="1" ht="25.5" x14ac:dyDescent="0.2">
      <c r="A521" s="30"/>
      <c r="B521" s="22" t="s">
        <v>1235</v>
      </c>
      <c r="C521" s="218" t="s">
        <v>887</v>
      </c>
      <c r="D521" s="12" t="s">
        <v>265</v>
      </c>
      <c r="E521" s="21" t="s">
        <v>34</v>
      </c>
      <c r="F521" s="21">
        <v>7.65</v>
      </c>
      <c r="G521" s="40">
        <v>0.95</v>
      </c>
      <c r="H521" s="40">
        <f t="shared" ref="H521:H550" si="53">TRUNC((G521*(1+$I$6)),2)</f>
        <v>1.22</v>
      </c>
      <c r="I521" s="20">
        <f>F521*H521</f>
        <v>9.33</v>
      </c>
      <c r="J521" s="124">
        <f>I521/$I$838</f>
        <v>2.0000000000000002E-5</v>
      </c>
      <c r="K521" s="133"/>
      <c r="L521" s="92"/>
      <c r="M521" s="136"/>
      <c r="N521" s="136"/>
      <c r="O521" s="136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</row>
    <row r="522" spans="1:45" s="32" customFormat="1" x14ac:dyDescent="0.2">
      <c r="A522" s="30"/>
      <c r="B522" s="22"/>
      <c r="C522" s="226" t="s">
        <v>437</v>
      </c>
      <c r="D522" s="84" t="s">
        <v>147</v>
      </c>
      <c r="E522" s="21"/>
      <c r="F522" s="181"/>
      <c r="G522" s="40"/>
      <c r="H522" s="40"/>
      <c r="I522" s="20"/>
      <c r="J522" s="124"/>
      <c r="K522" s="133"/>
      <c r="L522" s="92"/>
      <c r="M522" s="136"/>
      <c r="N522" s="136"/>
      <c r="O522" s="136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</row>
    <row r="523" spans="1:45" s="32" customFormat="1" ht="38.25" x14ac:dyDescent="0.2">
      <c r="A523" s="30"/>
      <c r="B523" s="22">
        <v>94319</v>
      </c>
      <c r="C523" s="218" t="s">
        <v>889</v>
      </c>
      <c r="D523" s="217" t="s">
        <v>356</v>
      </c>
      <c r="E523" s="21" t="s">
        <v>36</v>
      </c>
      <c r="F523" s="179">
        <v>6.48</v>
      </c>
      <c r="G523" s="40">
        <v>21.94</v>
      </c>
      <c r="H523" s="40">
        <f t="shared" si="53"/>
        <v>28.31</v>
      </c>
      <c r="I523" s="20">
        <f>F523*H523</f>
        <v>183.45</v>
      </c>
      <c r="J523" s="124">
        <f t="shared" ref="J523:J528" si="54">I523/$I$838</f>
        <v>3.1E-4</v>
      </c>
      <c r="K523" s="133"/>
      <c r="L523" s="92"/>
      <c r="M523" s="136"/>
      <c r="N523" s="136"/>
      <c r="O523" s="136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</row>
    <row r="524" spans="1:45" s="32" customFormat="1" ht="25.5" x14ac:dyDescent="0.2">
      <c r="A524" s="30"/>
      <c r="B524" s="22">
        <v>96624</v>
      </c>
      <c r="C524" s="218" t="s">
        <v>888</v>
      </c>
      <c r="D524" s="12" t="s">
        <v>38</v>
      </c>
      <c r="E524" s="21" t="s">
        <v>36</v>
      </c>
      <c r="F524" s="179">
        <v>2.16</v>
      </c>
      <c r="G524" s="40">
        <v>63.2</v>
      </c>
      <c r="H524" s="40">
        <f t="shared" si="53"/>
        <v>81.569999999999993</v>
      </c>
      <c r="I524" s="20">
        <f>F524*H524</f>
        <v>176.19</v>
      </c>
      <c r="J524" s="124">
        <f t="shared" si="54"/>
        <v>2.9E-4</v>
      </c>
      <c r="K524" s="133"/>
      <c r="L524" s="92"/>
      <c r="M524" s="136"/>
      <c r="N524" s="136"/>
      <c r="O524" s="136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</row>
    <row r="525" spans="1:45" s="32" customFormat="1" ht="25.5" x14ac:dyDescent="0.2">
      <c r="A525" s="30"/>
      <c r="B525" s="22" t="s">
        <v>1226</v>
      </c>
      <c r="C525" s="218" t="s">
        <v>890</v>
      </c>
      <c r="D525" s="13" t="s">
        <v>63</v>
      </c>
      <c r="E525" s="21" t="s">
        <v>34</v>
      </c>
      <c r="F525" s="179">
        <v>43.2</v>
      </c>
      <c r="G525" s="40">
        <v>3.2</v>
      </c>
      <c r="H525" s="40">
        <f t="shared" si="53"/>
        <v>4.13</v>
      </c>
      <c r="I525" s="20">
        <f>F525*H525</f>
        <v>178.42</v>
      </c>
      <c r="J525" s="124">
        <f t="shared" si="54"/>
        <v>2.9999999999999997E-4</v>
      </c>
      <c r="K525" s="133"/>
      <c r="L525" s="92"/>
      <c r="M525" s="136"/>
      <c r="N525" s="136"/>
      <c r="O525" s="136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</row>
    <row r="526" spans="1:45" s="32" customFormat="1" ht="38.25" x14ac:dyDescent="0.2">
      <c r="A526" s="30"/>
      <c r="B526" s="22">
        <v>94991</v>
      </c>
      <c r="C526" s="218" t="s">
        <v>891</v>
      </c>
      <c r="D526" s="13" t="s">
        <v>222</v>
      </c>
      <c r="E526" s="21" t="s">
        <v>36</v>
      </c>
      <c r="F526" s="181">
        <v>2.16</v>
      </c>
      <c r="G526" s="40">
        <v>326.01</v>
      </c>
      <c r="H526" s="40">
        <f t="shared" si="53"/>
        <v>420.78</v>
      </c>
      <c r="I526" s="20">
        <f>F526*H526</f>
        <v>908.88</v>
      </c>
      <c r="J526" s="124">
        <f t="shared" si="54"/>
        <v>1.5200000000000001E-3</v>
      </c>
      <c r="K526" s="133"/>
      <c r="L526" s="92"/>
      <c r="M526" s="136"/>
      <c r="N526" s="136"/>
      <c r="O526" s="136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</row>
    <row r="527" spans="1:45" s="32" customFormat="1" ht="51" x14ac:dyDescent="0.2">
      <c r="A527" s="30"/>
      <c r="B527" s="22">
        <v>87251</v>
      </c>
      <c r="C527" s="218" t="s">
        <v>892</v>
      </c>
      <c r="D527" s="11" t="s">
        <v>1209</v>
      </c>
      <c r="E527" s="21" t="s">
        <v>34</v>
      </c>
      <c r="F527" s="179">
        <v>43.2</v>
      </c>
      <c r="G527" s="40">
        <v>22.44</v>
      </c>
      <c r="H527" s="40">
        <f t="shared" si="53"/>
        <v>28.96</v>
      </c>
      <c r="I527" s="20">
        <f>F527*H527</f>
        <v>1251.07</v>
      </c>
      <c r="J527" s="124">
        <f t="shared" si="54"/>
        <v>2.0899999999999998E-3</v>
      </c>
      <c r="K527" s="133"/>
      <c r="L527" s="92"/>
      <c r="M527" s="136"/>
      <c r="N527" s="136"/>
      <c r="O527" s="136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</row>
    <row r="528" spans="1:45" s="32" customFormat="1" ht="25.5" x14ac:dyDescent="0.2">
      <c r="A528" s="30"/>
      <c r="B528" s="22">
        <v>98689</v>
      </c>
      <c r="C528" s="218" t="s">
        <v>893</v>
      </c>
      <c r="D528" s="76" t="s">
        <v>148</v>
      </c>
      <c r="E528" s="21" t="s">
        <v>37</v>
      </c>
      <c r="F528" s="179">
        <v>7.6</v>
      </c>
      <c r="G528" s="40">
        <v>52.28</v>
      </c>
      <c r="H528" s="40">
        <f t="shared" si="53"/>
        <v>67.47</v>
      </c>
      <c r="I528" s="20">
        <f>F528*H528</f>
        <v>512.77</v>
      </c>
      <c r="J528" s="124">
        <f t="shared" si="54"/>
        <v>8.5999999999999998E-4</v>
      </c>
      <c r="K528" s="133"/>
      <c r="L528" s="92"/>
      <c r="M528" s="136"/>
      <c r="N528" s="136"/>
      <c r="O528" s="136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</row>
    <row r="529" spans="1:45" s="32" customFormat="1" x14ac:dyDescent="0.2">
      <c r="A529" s="30"/>
      <c r="B529" s="22"/>
      <c r="C529" s="226" t="s">
        <v>438</v>
      </c>
      <c r="D529" s="84" t="s">
        <v>150</v>
      </c>
      <c r="E529" s="85"/>
      <c r="F529" s="181"/>
      <c r="G529" s="40"/>
      <c r="H529" s="40"/>
      <c r="I529" s="20"/>
      <c r="J529" s="124"/>
      <c r="K529" s="133"/>
      <c r="L529" s="92"/>
      <c r="M529" s="136"/>
      <c r="N529" s="136"/>
      <c r="O529" s="136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</row>
    <row r="530" spans="1:45" s="32" customFormat="1" ht="51" x14ac:dyDescent="0.2">
      <c r="A530" s="30"/>
      <c r="B530" s="22">
        <v>87508</v>
      </c>
      <c r="C530" s="218" t="s">
        <v>894</v>
      </c>
      <c r="D530" s="13" t="s">
        <v>443</v>
      </c>
      <c r="E530" s="21" t="s">
        <v>34</v>
      </c>
      <c r="F530" s="179">
        <v>1.8</v>
      </c>
      <c r="G530" s="40">
        <v>48.51</v>
      </c>
      <c r="H530" s="40">
        <f t="shared" si="53"/>
        <v>62.61</v>
      </c>
      <c r="I530" s="20">
        <f>F530*H530</f>
        <v>112.7</v>
      </c>
      <c r="J530" s="124">
        <f t="shared" ref="J530:J540" si="55">I530/$I$838</f>
        <v>1.9000000000000001E-4</v>
      </c>
      <c r="K530" s="133"/>
      <c r="L530" s="92"/>
      <c r="M530" s="136"/>
      <c r="N530" s="136"/>
      <c r="O530" s="136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</row>
    <row r="531" spans="1:45" s="32" customFormat="1" x14ac:dyDescent="0.2">
      <c r="A531" s="30"/>
      <c r="B531" s="22">
        <v>95957</v>
      </c>
      <c r="C531" s="218" t="s">
        <v>895</v>
      </c>
      <c r="D531" s="12" t="s">
        <v>444</v>
      </c>
      <c r="E531" s="21" t="s">
        <v>36</v>
      </c>
      <c r="F531" s="179">
        <v>0.05</v>
      </c>
      <c r="G531" s="40">
        <v>1138.8499999999999</v>
      </c>
      <c r="H531" s="40">
        <f t="shared" si="53"/>
        <v>1469.91</v>
      </c>
      <c r="I531" s="20">
        <f>F531*H531</f>
        <v>73.5</v>
      </c>
      <c r="J531" s="124">
        <f t="shared" si="55"/>
        <v>1.2E-4</v>
      </c>
      <c r="K531" s="133"/>
      <c r="L531" s="92"/>
      <c r="M531" s="136"/>
      <c r="N531" s="136"/>
      <c r="O531" s="136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</row>
    <row r="532" spans="1:45" s="32" customFormat="1" ht="51" x14ac:dyDescent="0.2">
      <c r="A532" s="30"/>
      <c r="B532" s="81">
        <v>93186</v>
      </c>
      <c r="C532" s="218" t="s">
        <v>896</v>
      </c>
      <c r="D532" s="12" t="s">
        <v>446</v>
      </c>
      <c r="E532" s="21" t="s">
        <v>37</v>
      </c>
      <c r="F532" s="179">
        <v>1.6</v>
      </c>
      <c r="G532" s="40">
        <v>49.15</v>
      </c>
      <c r="H532" s="40">
        <f t="shared" si="53"/>
        <v>63.43</v>
      </c>
      <c r="I532" s="20">
        <f>F532*H532</f>
        <v>101.49</v>
      </c>
      <c r="J532" s="124">
        <f t="shared" si="55"/>
        <v>1.7000000000000001E-4</v>
      </c>
      <c r="K532" s="133"/>
      <c r="L532" s="92"/>
      <c r="M532" s="136"/>
      <c r="N532" s="136"/>
      <c r="O532" s="136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</row>
    <row r="533" spans="1:45" s="32" customFormat="1" ht="51" x14ac:dyDescent="0.2">
      <c r="A533" s="30"/>
      <c r="B533" s="81">
        <v>93196</v>
      </c>
      <c r="C533" s="218" t="s">
        <v>897</v>
      </c>
      <c r="D533" s="12" t="s">
        <v>447</v>
      </c>
      <c r="E533" s="21" t="s">
        <v>37</v>
      </c>
      <c r="F533" s="179">
        <v>1.6</v>
      </c>
      <c r="G533" s="40">
        <v>48.1</v>
      </c>
      <c r="H533" s="40">
        <f t="shared" si="53"/>
        <v>62.08</v>
      </c>
      <c r="I533" s="20">
        <f>F533*H533</f>
        <v>99.33</v>
      </c>
      <c r="J533" s="124">
        <f t="shared" si="55"/>
        <v>1.7000000000000001E-4</v>
      </c>
      <c r="K533" s="133"/>
      <c r="L533" s="92"/>
      <c r="M533" s="136"/>
      <c r="N533" s="136"/>
      <c r="O533" s="136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</row>
    <row r="534" spans="1:45" s="32" customFormat="1" ht="25.5" x14ac:dyDescent="0.2">
      <c r="A534" s="30"/>
      <c r="B534" s="22">
        <v>87879</v>
      </c>
      <c r="C534" s="218" t="s">
        <v>898</v>
      </c>
      <c r="D534" s="12" t="s">
        <v>42</v>
      </c>
      <c r="E534" s="21" t="s">
        <v>34</v>
      </c>
      <c r="F534" s="179">
        <v>30.29</v>
      </c>
      <c r="G534" s="40">
        <v>1.98</v>
      </c>
      <c r="H534" s="40">
        <f t="shared" si="53"/>
        <v>2.5499999999999998</v>
      </c>
      <c r="I534" s="20">
        <f>F534*H534</f>
        <v>77.239999999999995</v>
      </c>
      <c r="J534" s="124">
        <f t="shared" si="55"/>
        <v>1.2999999999999999E-4</v>
      </c>
      <c r="K534" s="133"/>
      <c r="L534" s="92"/>
      <c r="M534" s="136"/>
      <c r="N534" s="136"/>
      <c r="O534" s="136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</row>
    <row r="535" spans="1:45" s="32" customFormat="1" ht="51" x14ac:dyDescent="0.2">
      <c r="A535" s="30"/>
      <c r="B535" s="22">
        <v>87529</v>
      </c>
      <c r="C535" s="218" t="s">
        <v>899</v>
      </c>
      <c r="D535" s="12" t="s">
        <v>154</v>
      </c>
      <c r="E535" s="19" t="s">
        <v>34</v>
      </c>
      <c r="F535" s="179">
        <v>30.29</v>
      </c>
      <c r="G535" s="40">
        <v>16.82</v>
      </c>
      <c r="H535" s="40">
        <f t="shared" si="53"/>
        <v>21.7</v>
      </c>
      <c r="I535" s="20">
        <f>F535*H535</f>
        <v>657.29</v>
      </c>
      <c r="J535" s="124">
        <f t="shared" si="55"/>
        <v>1.1000000000000001E-3</v>
      </c>
      <c r="K535" s="133"/>
      <c r="L535" s="92"/>
      <c r="M535" s="136"/>
      <c r="N535" s="136"/>
      <c r="O535" s="136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</row>
    <row r="536" spans="1:45" s="32" customFormat="1" ht="63.75" x14ac:dyDescent="0.2">
      <c r="A536" s="30"/>
      <c r="B536" s="22" t="s">
        <v>1224</v>
      </c>
      <c r="C536" s="218" t="s">
        <v>900</v>
      </c>
      <c r="D536" s="12" t="s">
        <v>1210</v>
      </c>
      <c r="E536" s="19" t="s">
        <v>34</v>
      </c>
      <c r="F536" s="21">
        <v>1.67</v>
      </c>
      <c r="G536" s="40">
        <v>88.58</v>
      </c>
      <c r="H536" s="40">
        <f t="shared" si="53"/>
        <v>114.33</v>
      </c>
      <c r="I536" s="20">
        <f>F536*H536</f>
        <v>190.93</v>
      </c>
      <c r="J536" s="124">
        <f t="shared" si="55"/>
        <v>3.2000000000000003E-4</v>
      </c>
      <c r="K536" s="133"/>
      <c r="L536" s="92"/>
      <c r="M536" s="136"/>
      <c r="N536" s="136"/>
      <c r="O536" s="136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</row>
    <row r="537" spans="1:45" s="32" customFormat="1" ht="63.75" x14ac:dyDescent="0.2">
      <c r="A537" s="30"/>
      <c r="B537" s="22" t="s">
        <v>1225</v>
      </c>
      <c r="C537" s="218" t="s">
        <v>901</v>
      </c>
      <c r="D537" s="12" t="s">
        <v>1211</v>
      </c>
      <c r="E537" s="19" t="s">
        <v>34</v>
      </c>
      <c r="F537" s="21">
        <v>20.52</v>
      </c>
      <c r="G537" s="40">
        <v>84.55</v>
      </c>
      <c r="H537" s="40">
        <f t="shared" si="53"/>
        <v>109.12</v>
      </c>
      <c r="I537" s="20">
        <f>F537*H537</f>
        <v>2239.14</v>
      </c>
      <c r="J537" s="124">
        <f t="shared" si="55"/>
        <v>3.7399999999999998E-3</v>
      </c>
      <c r="K537" s="133"/>
      <c r="L537" s="92"/>
      <c r="M537" s="136"/>
      <c r="N537" s="136"/>
      <c r="O537" s="136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</row>
    <row r="538" spans="1:45" s="32" customFormat="1" ht="25.5" x14ac:dyDescent="0.2">
      <c r="A538" s="30"/>
      <c r="B538" s="22">
        <v>88485</v>
      </c>
      <c r="C538" s="218" t="s">
        <v>902</v>
      </c>
      <c r="D538" s="76" t="s">
        <v>155</v>
      </c>
      <c r="E538" s="21" t="s">
        <v>34</v>
      </c>
      <c r="F538" s="179">
        <v>35.46</v>
      </c>
      <c r="G538" s="40">
        <v>1.18</v>
      </c>
      <c r="H538" s="40">
        <f t="shared" si="53"/>
        <v>1.52</v>
      </c>
      <c r="I538" s="20">
        <f>F538*H538</f>
        <v>53.9</v>
      </c>
      <c r="J538" s="124">
        <f t="shared" si="55"/>
        <v>9.0000000000000006E-5</v>
      </c>
      <c r="K538" s="133"/>
      <c r="L538" s="92"/>
      <c r="M538" s="136"/>
      <c r="N538" s="136"/>
      <c r="O538" s="136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</row>
    <row r="539" spans="1:45" s="32" customFormat="1" ht="25.5" x14ac:dyDescent="0.2">
      <c r="A539" s="30"/>
      <c r="B539" s="22">
        <v>88497</v>
      </c>
      <c r="C539" s="218" t="s">
        <v>903</v>
      </c>
      <c r="D539" s="76" t="s">
        <v>102</v>
      </c>
      <c r="E539" s="21" t="s">
        <v>34</v>
      </c>
      <c r="F539" s="179">
        <v>35.46</v>
      </c>
      <c r="G539" s="40">
        <v>7.81</v>
      </c>
      <c r="H539" s="40">
        <f t="shared" si="53"/>
        <v>10.08</v>
      </c>
      <c r="I539" s="20">
        <f>F539*H539</f>
        <v>357.44</v>
      </c>
      <c r="J539" s="124">
        <f t="shared" si="55"/>
        <v>5.9999999999999995E-4</v>
      </c>
      <c r="K539" s="133"/>
      <c r="L539" s="92"/>
      <c r="M539" s="136"/>
      <c r="N539" s="136"/>
      <c r="O539" s="136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</row>
    <row r="540" spans="1:45" s="32" customFormat="1" ht="25.5" x14ac:dyDescent="0.2">
      <c r="A540" s="30"/>
      <c r="B540" s="22">
        <v>88489</v>
      </c>
      <c r="C540" s="218" t="s">
        <v>1218</v>
      </c>
      <c r="D540" s="13" t="s">
        <v>43</v>
      </c>
      <c r="E540" s="21" t="s">
        <v>34</v>
      </c>
      <c r="F540" s="179">
        <v>35.46</v>
      </c>
      <c r="G540" s="40">
        <v>7.37</v>
      </c>
      <c r="H540" s="40">
        <f t="shared" si="53"/>
        <v>9.51</v>
      </c>
      <c r="I540" s="20">
        <f>F540*H540</f>
        <v>337.22</v>
      </c>
      <c r="J540" s="124">
        <f t="shared" si="55"/>
        <v>5.5999999999999995E-4</v>
      </c>
      <c r="K540" s="133"/>
      <c r="L540" s="92"/>
      <c r="M540" s="136"/>
      <c r="N540" s="136"/>
      <c r="O540" s="136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</row>
    <row r="541" spans="1:45" s="32" customFormat="1" x14ac:dyDescent="0.2">
      <c r="A541" s="30"/>
      <c r="B541" s="22"/>
      <c r="C541" s="226" t="s">
        <v>439</v>
      </c>
      <c r="D541" s="84" t="s">
        <v>165</v>
      </c>
      <c r="E541" s="38"/>
      <c r="F541" s="179"/>
      <c r="G541" s="40"/>
      <c r="H541" s="40"/>
      <c r="I541" s="20"/>
      <c r="J541" s="124"/>
      <c r="K541" s="133"/>
      <c r="L541" s="92"/>
      <c r="M541" s="136"/>
      <c r="N541" s="136"/>
      <c r="O541" s="136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</row>
    <row r="542" spans="1:45" s="32" customFormat="1" ht="63.75" x14ac:dyDescent="0.2">
      <c r="A542" s="30"/>
      <c r="B542" s="22">
        <v>96485</v>
      </c>
      <c r="C542" s="218" t="s">
        <v>904</v>
      </c>
      <c r="D542" s="13" t="s">
        <v>226</v>
      </c>
      <c r="E542" s="21" t="s">
        <v>34</v>
      </c>
      <c r="F542" s="179">
        <v>43.2</v>
      </c>
      <c r="G542" s="40">
        <v>46.55</v>
      </c>
      <c r="H542" s="40">
        <f t="shared" si="53"/>
        <v>60.08</v>
      </c>
      <c r="I542" s="20">
        <f>F542*H542</f>
        <v>2595.46</v>
      </c>
      <c r="J542" s="124">
        <f>I542/$I$838</f>
        <v>4.3400000000000001E-3</v>
      </c>
      <c r="K542" s="133"/>
      <c r="L542" s="92"/>
      <c r="M542" s="136"/>
      <c r="N542" s="136"/>
      <c r="O542" s="136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</row>
    <row r="543" spans="1:45" s="32" customFormat="1" ht="25.5" x14ac:dyDescent="0.2">
      <c r="A543" s="30"/>
      <c r="B543" s="22">
        <v>96121</v>
      </c>
      <c r="C543" s="218" t="s">
        <v>905</v>
      </c>
      <c r="D543" s="13" t="s">
        <v>227</v>
      </c>
      <c r="E543" s="21" t="s">
        <v>37</v>
      </c>
      <c r="F543" s="179">
        <v>26.58</v>
      </c>
      <c r="G543" s="40">
        <v>7.03</v>
      </c>
      <c r="H543" s="40">
        <f t="shared" si="53"/>
        <v>9.07</v>
      </c>
      <c r="I543" s="20">
        <f>F543*H543</f>
        <v>241.08</v>
      </c>
      <c r="J543" s="124">
        <f>I543/$I$838</f>
        <v>4.0000000000000002E-4</v>
      </c>
      <c r="K543" s="133"/>
      <c r="L543" s="92"/>
      <c r="M543" s="136"/>
      <c r="N543" s="136"/>
      <c r="O543" s="136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</row>
    <row r="544" spans="1:45" s="32" customFormat="1" x14ac:dyDescent="0.2">
      <c r="A544" s="30"/>
      <c r="B544" s="22"/>
      <c r="C544" s="226" t="s">
        <v>440</v>
      </c>
      <c r="D544" s="86" t="s">
        <v>153</v>
      </c>
      <c r="E544" s="21"/>
      <c r="F544" s="179"/>
      <c r="G544" s="40"/>
      <c r="H544" s="40"/>
      <c r="I544" s="20"/>
      <c r="J544" s="124"/>
      <c r="K544" s="133"/>
      <c r="L544" s="92"/>
      <c r="M544" s="136"/>
      <c r="N544" s="136"/>
      <c r="O544" s="136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</row>
    <row r="545" spans="1:45" s="32" customFormat="1" ht="25.5" x14ac:dyDescent="0.2">
      <c r="A545" s="30"/>
      <c r="B545" s="22">
        <v>98689</v>
      </c>
      <c r="C545" s="218" t="s">
        <v>906</v>
      </c>
      <c r="D545" s="76" t="s">
        <v>159</v>
      </c>
      <c r="E545" s="21" t="s">
        <v>37</v>
      </c>
      <c r="F545" s="179">
        <v>1.5</v>
      </c>
      <c r="G545" s="40">
        <v>52.28</v>
      </c>
      <c r="H545" s="40">
        <f t="shared" si="53"/>
        <v>67.47</v>
      </c>
      <c r="I545" s="20">
        <f>F545*H545</f>
        <v>101.21</v>
      </c>
      <c r="J545" s="124">
        <f>I545/$I$838</f>
        <v>1.7000000000000001E-4</v>
      </c>
      <c r="K545" s="133"/>
      <c r="L545" s="92"/>
      <c r="M545" s="136"/>
      <c r="N545" s="136"/>
      <c r="O545" s="136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</row>
    <row r="546" spans="1:45" s="32" customFormat="1" ht="38.25" x14ac:dyDescent="0.2">
      <c r="A546" s="30"/>
      <c r="B546" s="22" t="s">
        <v>121</v>
      </c>
      <c r="C546" s="218" t="s">
        <v>907</v>
      </c>
      <c r="D546" s="76" t="s">
        <v>457</v>
      </c>
      <c r="E546" s="21" t="s">
        <v>35</v>
      </c>
      <c r="F546" s="179">
        <v>3</v>
      </c>
      <c r="G546" s="40">
        <v>1771.53</v>
      </c>
      <c r="H546" s="40">
        <f t="shared" si="53"/>
        <v>2286.5100000000002</v>
      </c>
      <c r="I546" s="20">
        <f>F546*H546</f>
        <v>6859.53</v>
      </c>
      <c r="J546" s="124">
        <f>I546/$I$838</f>
        <v>1.1469999999999999E-2</v>
      </c>
      <c r="K546" s="133"/>
      <c r="L546" s="92"/>
      <c r="M546" s="136"/>
      <c r="N546" s="136"/>
      <c r="O546" s="136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</row>
    <row r="547" spans="1:45" s="32" customFormat="1" ht="38.25" x14ac:dyDescent="0.2">
      <c r="A547" s="30"/>
      <c r="B547" s="22" t="s">
        <v>121</v>
      </c>
      <c r="C547" s="218" t="s">
        <v>908</v>
      </c>
      <c r="D547" s="13" t="s">
        <v>279</v>
      </c>
      <c r="E547" s="21" t="s">
        <v>35</v>
      </c>
      <c r="F547" s="179">
        <v>1</v>
      </c>
      <c r="G547" s="40">
        <v>697.26</v>
      </c>
      <c r="H547" s="40">
        <f t="shared" si="53"/>
        <v>899.95</v>
      </c>
      <c r="I547" s="20">
        <f>F547*H547</f>
        <v>899.95</v>
      </c>
      <c r="J547" s="124">
        <f>I547/$I$838</f>
        <v>1.5E-3</v>
      </c>
      <c r="K547" s="133"/>
      <c r="L547" s="92"/>
      <c r="M547" s="136"/>
      <c r="N547" s="136"/>
      <c r="O547" s="136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5"/>
      <c r="AQ547" s="95"/>
      <c r="AR547" s="95"/>
      <c r="AS547" s="95"/>
    </row>
    <row r="548" spans="1:45" s="32" customFormat="1" x14ac:dyDescent="0.2">
      <c r="A548" s="30"/>
      <c r="B548" s="22"/>
      <c r="C548" s="227" t="s">
        <v>441</v>
      </c>
      <c r="D548" s="84" t="s">
        <v>442</v>
      </c>
      <c r="E548" s="19"/>
      <c r="F548" s="179"/>
      <c r="G548" s="40"/>
      <c r="H548" s="40"/>
      <c r="I548" s="20"/>
      <c r="J548" s="124"/>
      <c r="K548" s="133"/>
      <c r="L548" s="92"/>
      <c r="M548" s="136"/>
      <c r="N548" s="136"/>
      <c r="O548" s="136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5"/>
      <c r="AQ548" s="95"/>
      <c r="AR548" s="95"/>
      <c r="AS548" s="95"/>
    </row>
    <row r="549" spans="1:45" s="32" customFormat="1" ht="25.5" x14ac:dyDescent="0.2">
      <c r="A549" s="30"/>
      <c r="B549" s="22">
        <v>86911</v>
      </c>
      <c r="C549" s="218" t="s">
        <v>909</v>
      </c>
      <c r="D549" s="12" t="s">
        <v>1083</v>
      </c>
      <c r="E549" s="21" t="s">
        <v>35</v>
      </c>
      <c r="F549" s="179">
        <v>9</v>
      </c>
      <c r="G549" s="40">
        <v>29.9</v>
      </c>
      <c r="H549" s="40">
        <f t="shared" si="53"/>
        <v>38.590000000000003</v>
      </c>
      <c r="I549" s="20">
        <f>F549*H549</f>
        <v>347.31</v>
      </c>
      <c r="J549" s="124">
        <f>I549/$I$838</f>
        <v>5.8E-4</v>
      </c>
      <c r="K549" s="133"/>
      <c r="L549" s="92"/>
      <c r="M549" s="136"/>
      <c r="N549" s="136"/>
      <c r="O549" s="136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5"/>
      <c r="AQ549" s="95"/>
      <c r="AR549" s="95"/>
      <c r="AS549" s="95"/>
    </row>
    <row r="550" spans="1:45" s="32" customFormat="1" ht="38.25" x14ac:dyDescent="0.2">
      <c r="A550" s="30"/>
      <c r="B550" s="105">
        <v>91341</v>
      </c>
      <c r="C550" s="218" t="s">
        <v>910</v>
      </c>
      <c r="D550" s="13" t="s">
        <v>445</v>
      </c>
      <c r="E550" s="21" t="s">
        <v>34</v>
      </c>
      <c r="F550" s="179">
        <f>(0.4*0.3)*2</f>
        <v>0.24</v>
      </c>
      <c r="G550" s="40">
        <v>517.35</v>
      </c>
      <c r="H550" s="40">
        <f t="shared" si="53"/>
        <v>667.74</v>
      </c>
      <c r="I550" s="20">
        <f>F550*H550</f>
        <v>160.26</v>
      </c>
      <c r="J550" s="124">
        <f>I550/$I$838</f>
        <v>2.7E-4</v>
      </c>
      <c r="K550" s="133"/>
      <c r="L550" s="92"/>
      <c r="M550" s="136"/>
      <c r="N550" s="136"/>
      <c r="O550" s="136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5"/>
      <c r="AQ550" s="95"/>
      <c r="AR550" s="95"/>
      <c r="AS550" s="95"/>
    </row>
    <row r="551" spans="1:45" s="32" customFormat="1" x14ac:dyDescent="0.2">
      <c r="A551" s="30"/>
      <c r="B551" s="22"/>
      <c r="C551" s="247"/>
      <c r="D551" s="316" t="s">
        <v>216</v>
      </c>
      <c r="E551" s="316"/>
      <c r="F551" s="316"/>
      <c r="G551" s="316"/>
      <c r="H551" s="317"/>
      <c r="I551" s="109">
        <f>SUM(I521:I550)</f>
        <v>18725.09</v>
      </c>
      <c r="J551" s="124"/>
      <c r="K551" s="133"/>
      <c r="L551" s="92"/>
      <c r="M551" s="136"/>
      <c r="N551" s="136"/>
      <c r="O551" s="136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</row>
    <row r="552" spans="1:45" s="32" customFormat="1" x14ac:dyDescent="0.2">
      <c r="A552" s="30"/>
      <c r="B552" s="22"/>
      <c r="C552" s="229" t="s">
        <v>218</v>
      </c>
      <c r="D552" s="128" t="s">
        <v>211</v>
      </c>
      <c r="E552" s="56"/>
      <c r="F552" s="180"/>
      <c r="G552" s="57"/>
      <c r="H552" s="57"/>
      <c r="I552" s="58"/>
      <c r="J552" s="47"/>
      <c r="K552" s="133"/>
      <c r="L552" s="92"/>
      <c r="M552" s="136"/>
      <c r="N552" s="136"/>
      <c r="O552" s="136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</row>
    <row r="553" spans="1:45" s="32" customFormat="1" x14ac:dyDescent="0.2">
      <c r="A553" s="30"/>
      <c r="B553" s="22"/>
      <c r="C553" s="226" t="s">
        <v>458</v>
      </c>
      <c r="D553" s="84" t="s">
        <v>147</v>
      </c>
      <c r="E553" s="21"/>
      <c r="F553" s="181"/>
      <c r="G553" s="40"/>
      <c r="H553" s="40"/>
      <c r="I553" s="20"/>
      <c r="J553" s="124"/>
      <c r="K553" s="133"/>
      <c r="L553" s="92"/>
      <c r="M553" s="136"/>
      <c r="N553" s="136"/>
      <c r="O553" s="136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5"/>
      <c r="AQ553" s="95"/>
      <c r="AR553" s="95"/>
      <c r="AS553" s="95"/>
    </row>
    <row r="554" spans="1:45" s="32" customFormat="1" ht="38.25" x14ac:dyDescent="0.2">
      <c r="A554" s="30"/>
      <c r="B554" s="22">
        <v>94319</v>
      </c>
      <c r="C554" s="218" t="s">
        <v>911</v>
      </c>
      <c r="D554" s="217" t="s">
        <v>356</v>
      </c>
      <c r="E554" s="21" t="s">
        <v>36</v>
      </c>
      <c r="F554" s="179">
        <v>4.16</v>
      </c>
      <c r="G554" s="40">
        <v>21.94</v>
      </c>
      <c r="H554" s="40">
        <f t="shared" ref="H554:H573" si="56">TRUNC((G554*(1+$I$6)),2)</f>
        <v>28.31</v>
      </c>
      <c r="I554" s="20">
        <f>F554*H554</f>
        <v>117.77</v>
      </c>
      <c r="J554" s="124">
        <f t="shared" ref="J554:J560" si="57">I554/$I$838</f>
        <v>2.0000000000000001E-4</v>
      </c>
      <c r="K554" s="133"/>
      <c r="L554" s="92"/>
      <c r="M554" s="136"/>
      <c r="N554" s="136"/>
      <c r="O554" s="136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</row>
    <row r="555" spans="1:45" s="32" customFormat="1" ht="25.5" x14ac:dyDescent="0.2">
      <c r="A555" s="30"/>
      <c r="B555" s="22">
        <v>96624</v>
      </c>
      <c r="C555" s="218" t="s">
        <v>912</v>
      </c>
      <c r="D555" s="12" t="s">
        <v>38</v>
      </c>
      <c r="E555" s="21" t="s">
        <v>36</v>
      </c>
      <c r="F555" s="179">
        <v>1.39</v>
      </c>
      <c r="G555" s="40">
        <v>63.2</v>
      </c>
      <c r="H555" s="40">
        <f t="shared" si="56"/>
        <v>81.569999999999993</v>
      </c>
      <c r="I555" s="20">
        <f>F555*H555</f>
        <v>113.38</v>
      </c>
      <c r="J555" s="124">
        <f t="shared" si="57"/>
        <v>1.9000000000000001E-4</v>
      </c>
      <c r="K555" s="133"/>
      <c r="L555" s="92"/>
      <c r="M555" s="136"/>
      <c r="N555" s="136"/>
      <c r="O555" s="136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</row>
    <row r="556" spans="1:45" s="32" customFormat="1" ht="25.5" x14ac:dyDescent="0.2">
      <c r="A556" s="30"/>
      <c r="B556" s="22" t="s">
        <v>1226</v>
      </c>
      <c r="C556" s="218" t="s">
        <v>913</v>
      </c>
      <c r="D556" s="13" t="s">
        <v>63</v>
      </c>
      <c r="E556" s="21" t="s">
        <v>34</v>
      </c>
      <c r="F556" s="179">
        <v>27.75</v>
      </c>
      <c r="G556" s="40">
        <v>3.2</v>
      </c>
      <c r="H556" s="40">
        <f t="shared" si="56"/>
        <v>4.13</v>
      </c>
      <c r="I556" s="20">
        <f>F556*H556</f>
        <v>114.61</v>
      </c>
      <c r="J556" s="124">
        <f t="shared" si="57"/>
        <v>1.9000000000000001E-4</v>
      </c>
      <c r="K556" s="133"/>
      <c r="L556" s="92"/>
      <c r="M556" s="136"/>
      <c r="N556" s="136"/>
      <c r="O556" s="136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</row>
    <row r="557" spans="1:45" s="32" customFormat="1" ht="38.25" x14ac:dyDescent="0.2">
      <c r="A557" s="30"/>
      <c r="B557" s="22">
        <v>94991</v>
      </c>
      <c r="C557" s="218" t="s">
        <v>914</v>
      </c>
      <c r="D557" s="13" t="s">
        <v>222</v>
      </c>
      <c r="E557" s="21" t="s">
        <v>36</v>
      </c>
      <c r="F557" s="181">
        <v>1.39</v>
      </c>
      <c r="G557" s="40">
        <v>326.01</v>
      </c>
      <c r="H557" s="40">
        <f t="shared" si="56"/>
        <v>420.78</v>
      </c>
      <c r="I557" s="20">
        <f>F557*H557</f>
        <v>584.88</v>
      </c>
      <c r="J557" s="124">
        <f t="shared" si="57"/>
        <v>9.7999999999999997E-4</v>
      </c>
      <c r="K557" s="133"/>
      <c r="L557" s="92"/>
      <c r="M557" s="136"/>
      <c r="N557" s="136"/>
      <c r="O557" s="136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5"/>
      <c r="AQ557" s="95"/>
      <c r="AR557" s="95"/>
      <c r="AS557" s="95"/>
    </row>
    <row r="558" spans="1:45" s="32" customFormat="1" ht="51" x14ac:dyDescent="0.2">
      <c r="A558" s="30"/>
      <c r="B558" s="22">
        <v>87251</v>
      </c>
      <c r="C558" s="218" t="s">
        <v>915</v>
      </c>
      <c r="D558" s="11" t="s">
        <v>1209</v>
      </c>
      <c r="E558" s="21" t="s">
        <v>34</v>
      </c>
      <c r="F558" s="179">
        <v>27.75</v>
      </c>
      <c r="G558" s="40">
        <v>22.44</v>
      </c>
      <c r="H558" s="40">
        <f t="shared" si="56"/>
        <v>28.96</v>
      </c>
      <c r="I558" s="20">
        <f>F558*H558</f>
        <v>803.64</v>
      </c>
      <c r="J558" s="124">
        <f t="shared" si="57"/>
        <v>1.34E-3</v>
      </c>
      <c r="K558" s="133"/>
      <c r="L558" s="92"/>
      <c r="M558" s="136"/>
      <c r="N558" s="136"/>
      <c r="O558" s="136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</row>
    <row r="559" spans="1:45" s="32" customFormat="1" ht="38.25" x14ac:dyDescent="0.2">
      <c r="A559" s="30"/>
      <c r="B559" s="22">
        <v>88649</v>
      </c>
      <c r="C559" s="218" t="s">
        <v>916</v>
      </c>
      <c r="D559" s="76" t="s">
        <v>221</v>
      </c>
      <c r="E559" s="21" t="s">
        <v>37</v>
      </c>
      <c r="F559" s="179">
        <v>15.7</v>
      </c>
      <c r="G559" s="40">
        <v>3.75</v>
      </c>
      <c r="H559" s="40">
        <f t="shared" si="56"/>
        <v>4.84</v>
      </c>
      <c r="I559" s="20">
        <f>F559*H559</f>
        <v>75.989999999999995</v>
      </c>
      <c r="J559" s="124">
        <f t="shared" si="57"/>
        <v>1.2999999999999999E-4</v>
      </c>
      <c r="K559" s="133"/>
      <c r="L559" s="92"/>
      <c r="M559" s="136"/>
      <c r="N559" s="136"/>
      <c r="O559" s="136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</row>
    <row r="560" spans="1:45" s="32" customFormat="1" ht="25.5" x14ac:dyDescent="0.2">
      <c r="A560" s="30"/>
      <c r="B560" s="22">
        <v>98689</v>
      </c>
      <c r="C560" s="218" t="s">
        <v>1183</v>
      </c>
      <c r="D560" s="76" t="s">
        <v>148</v>
      </c>
      <c r="E560" s="21" t="s">
        <v>37</v>
      </c>
      <c r="F560" s="179">
        <v>2</v>
      </c>
      <c r="G560" s="40">
        <v>52.28</v>
      </c>
      <c r="H560" s="40">
        <f t="shared" si="56"/>
        <v>67.47</v>
      </c>
      <c r="I560" s="20">
        <f>F560*H560</f>
        <v>134.94</v>
      </c>
      <c r="J560" s="124">
        <f t="shared" si="57"/>
        <v>2.3000000000000001E-4</v>
      </c>
      <c r="K560" s="133"/>
      <c r="L560" s="92"/>
      <c r="M560" s="136"/>
      <c r="N560" s="136"/>
      <c r="O560" s="136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5"/>
      <c r="AQ560" s="95"/>
      <c r="AR560" s="95"/>
      <c r="AS560" s="95"/>
    </row>
    <row r="561" spans="1:45" s="32" customFormat="1" x14ac:dyDescent="0.2">
      <c r="A561" s="30"/>
      <c r="B561" s="22"/>
      <c r="C561" s="226" t="s">
        <v>459</v>
      </c>
      <c r="D561" s="84" t="s">
        <v>150</v>
      </c>
      <c r="E561" s="85"/>
      <c r="F561" s="181"/>
      <c r="G561" s="40"/>
      <c r="H561" s="40"/>
      <c r="I561" s="20"/>
      <c r="J561" s="124"/>
      <c r="K561" s="133"/>
      <c r="L561" s="92"/>
      <c r="M561" s="136"/>
      <c r="N561" s="136"/>
      <c r="O561" s="136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5"/>
      <c r="AQ561" s="95"/>
      <c r="AR561" s="95"/>
      <c r="AS561" s="95"/>
    </row>
    <row r="562" spans="1:45" s="32" customFormat="1" ht="25.5" x14ac:dyDescent="0.2">
      <c r="A562" s="30"/>
      <c r="B562" s="22">
        <v>87879</v>
      </c>
      <c r="C562" s="218" t="s">
        <v>917</v>
      </c>
      <c r="D562" s="12" t="s">
        <v>42</v>
      </c>
      <c r="E562" s="21" t="s">
        <v>34</v>
      </c>
      <c r="F562" s="179">
        <v>43.5</v>
      </c>
      <c r="G562" s="40">
        <v>1.98</v>
      </c>
      <c r="H562" s="40">
        <f t="shared" si="56"/>
        <v>2.5499999999999998</v>
      </c>
      <c r="I562" s="20">
        <f>F562*H562</f>
        <v>110.93</v>
      </c>
      <c r="J562" s="124">
        <f>I562/$I$838</f>
        <v>1.9000000000000001E-4</v>
      </c>
      <c r="K562" s="133"/>
      <c r="L562" s="92"/>
      <c r="M562" s="136"/>
      <c r="N562" s="136"/>
      <c r="O562" s="136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5"/>
      <c r="AQ562" s="95"/>
      <c r="AR562" s="95"/>
      <c r="AS562" s="95"/>
    </row>
    <row r="563" spans="1:45" s="32" customFormat="1" ht="51" x14ac:dyDescent="0.2">
      <c r="A563" s="30"/>
      <c r="B563" s="22">
        <v>87529</v>
      </c>
      <c r="C563" s="218" t="s">
        <v>918</v>
      </c>
      <c r="D563" s="12" t="s">
        <v>154</v>
      </c>
      <c r="E563" s="19" t="s">
        <v>34</v>
      </c>
      <c r="F563" s="179">
        <v>43.5</v>
      </c>
      <c r="G563" s="40">
        <v>16.82</v>
      </c>
      <c r="H563" s="40">
        <f t="shared" si="56"/>
        <v>21.7</v>
      </c>
      <c r="I563" s="20">
        <f>F563*H563</f>
        <v>943.95</v>
      </c>
      <c r="J563" s="124">
        <f>I563/$I$838</f>
        <v>1.58E-3</v>
      </c>
      <c r="K563" s="133"/>
      <c r="L563" s="92"/>
      <c r="M563" s="136"/>
      <c r="N563" s="136"/>
      <c r="O563" s="136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  <c r="AN563" s="95"/>
      <c r="AO563" s="95"/>
      <c r="AP563" s="95"/>
      <c r="AQ563" s="95"/>
      <c r="AR563" s="95"/>
      <c r="AS563" s="95"/>
    </row>
    <row r="564" spans="1:45" s="32" customFormat="1" ht="25.5" x14ac:dyDescent="0.2">
      <c r="A564" s="30"/>
      <c r="B564" s="22">
        <v>88485</v>
      </c>
      <c r="C564" s="218" t="s">
        <v>919</v>
      </c>
      <c r="D564" s="76" t="s">
        <v>155</v>
      </c>
      <c r="E564" s="21" t="s">
        <v>34</v>
      </c>
      <c r="F564" s="179">
        <v>43.5</v>
      </c>
      <c r="G564" s="40">
        <v>1.18</v>
      </c>
      <c r="H564" s="40">
        <f t="shared" si="56"/>
        <v>1.52</v>
      </c>
      <c r="I564" s="20">
        <f>F564*H564</f>
        <v>66.12</v>
      </c>
      <c r="J564" s="124">
        <f>I564/$I$838</f>
        <v>1.1E-4</v>
      </c>
      <c r="K564" s="133"/>
      <c r="L564" s="92"/>
      <c r="M564" s="136"/>
      <c r="N564" s="136"/>
      <c r="O564" s="136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  <c r="AN564" s="95"/>
      <c r="AO564" s="95"/>
      <c r="AP564" s="95"/>
      <c r="AQ564" s="95"/>
      <c r="AR564" s="95"/>
      <c r="AS564" s="95"/>
    </row>
    <row r="565" spans="1:45" s="32" customFormat="1" ht="25.5" x14ac:dyDescent="0.2">
      <c r="A565" s="30"/>
      <c r="B565" s="22">
        <v>88497</v>
      </c>
      <c r="C565" s="218" t="s">
        <v>920</v>
      </c>
      <c r="D565" s="76" t="s">
        <v>102</v>
      </c>
      <c r="E565" s="21" t="s">
        <v>34</v>
      </c>
      <c r="F565" s="179">
        <v>43.5</v>
      </c>
      <c r="G565" s="40">
        <v>7.81</v>
      </c>
      <c r="H565" s="40">
        <f t="shared" si="56"/>
        <v>10.08</v>
      </c>
      <c r="I565" s="20">
        <f>F565*H565</f>
        <v>438.48</v>
      </c>
      <c r="J565" s="124">
        <f>I565/$I$838</f>
        <v>7.2999999999999996E-4</v>
      </c>
      <c r="K565" s="133"/>
      <c r="L565" s="92"/>
      <c r="M565" s="136"/>
      <c r="N565" s="136"/>
      <c r="O565" s="136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  <c r="AN565" s="95"/>
      <c r="AO565" s="95"/>
      <c r="AP565" s="95"/>
      <c r="AQ565" s="95"/>
      <c r="AR565" s="95"/>
      <c r="AS565" s="95"/>
    </row>
    <row r="566" spans="1:45" s="32" customFormat="1" ht="25.5" x14ac:dyDescent="0.2">
      <c r="A566" s="30"/>
      <c r="B566" s="22">
        <v>88489</v>
      </c>
      <c r="C566" s="218" t="s">
        <v>921</v>
      </c>
      <c r="D566" s="13" t="s">
        <v>43</v>
      </c>
      <c r="E566" s="21" t="s">
        <v>34</v>
      </c>
      <c r="F566" s="179">
        <v>43.5</v>
      </c>
      <c r="G566" s="40">
        <v>7.37</v>
      </c>
      <c r="H566" s="40">
        <f t="shared" si="56"/>
        <v>9.51</v>
      </c>
      <c r="I566" s="20">
        <f>F566*H566</f>
        <v>413.69</v>
      </c>
      <c r="J566" s="124">
        <f>I566/$I$838</f>
        <v>6.8999999999999997E-4</v>
      </c>
      <c r="K566" s="133"/>
      <c r="L566" s="92"/>
      <c r="M566" s="136"/>
      <c r="N566" s="136"/>
      <c r="O566" s="136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  <c r="AN566" s="95"/>
      <c r="AO566" s="95"/>
      <c r="AP566" s="95"/>
      <c r="AQ566" s="95"/>
      <c r="AR566" s="95"/>
      <c r="AS566" s="95"/>
    </row>
    <row r="567" spans="1:45" s="32" customFormat="1" x14ac:dyDescent="0.2">
      <c r="A567" s="30"/>
      <c r="B567" s="22"/>
      <c r="C567" s="226" t="s">
        <v>460</v>
      </c>
      <c r="D567" s="84" t="s">
        <v>165</v>
      </c>
      <c r="E567" s="38"/>
      <c r="F567" s="179"/>
      <c r="G567" s="40"/>
      <c r="H567" s="40"/>
      <c r="I567" s="20"/>
      <c r="J567" s="124"/>
      <c r="K567" s="133"/>
      <c r="L567" s="92"/>
      <c r="M567" s="136"/>
      <c r="N567" s="136"/>
      <c r="O567" s="136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  <c r="AN567" s="95"/>
      <c r="AO567" s="95"/>
      <c r="AP567" s="95"/>
      <c r="AQ567" s="95"/>
      <c r="AR567" s="95"/>
      <c r="AS567" s="95"/>
    </row>
    <row r="568" spans="1:45" s="32" customFormat="1" ht="63.75" x14ac:dyDescent="0.2">
      <c r="A568" s="30"/>
      <c r="B568" s="22">
        <v>96485</v>
      </c>
      <c r="C568" s="218" t="s">
        <v>922</v>
      </c>
      <c r="D568" s="13" t="s">
        <v>226</v>
      </c>
      <c r="E568" s="21" t="s">
        <v>34</v>
      </c>
      <c r="F568" s="179">
        <v>27.75</v>
      </c>
      <c r="G568" s="40">
        <v>46.55</v>
      </c>
      <c r="H568" s="40">
        <f t="shared" si="56"/>
        <v>60.08</v>
      </c>
      <c r="I568" s="20">
        <f>F568*H568</f>
        <v>1667.22</v>
      </c>
      <c r="J568" s="124">
        <f>I568/$I$838</f>
        <v>2.7899999999999999E-3</v>
      </c>
      <c r="K568" s="133"/>
      <c r="L568" s="92"/>
      <c r="M568" s="136"/>
      <c r="N568" s="136"/>
      <c r="O568" s="136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  <c r="AN568" s="95"/>
      <c r="AO568" s="95"/>
      <c r="AP568" s="95"/>
      <c r="AQ568" s="95"/>
      <c r="AR568" s="95"/>
      <c r="AS568" s="95"/>
    </row>
    <row r="569" spans="1:45" s="32" customFormat="1" ht="25.5" x14ac:dyDescent="0.2">
      <c r="A569" s="30"/>
      <c r="B569" s="22">
        <v>96121</v>
      </c>
      <c r="C569" s="218" t="s">
        <v>923</v>
      </c>
      <c r="D569" s="13" t="s">
        <v>227</v>
      </c>
      <c r="E569" s="21" t="s">
        <v>37</v>
      </c>
      <c r="F569" s="179">
        <v>21.7</v>
      </c>
      <c r="G569" s="40">
        <v>7.03</v>
      </c>
      <c r="H569" s="40">
        <f t="shared" si="56"/>
        <v>9.07</v>
      </c>
      <c r="I569" s="20">
        <f>F569*H569</f>
        <v>196.82</v>
      </c>
      <c r="J569" s="124">
        <f>I569/$I$838</f>
        <v>3.3E-4</v>
      </c>
      <c r="K569" s="133"/>
      <c r="L569" s="92"/>
      <c r="M569" s="136"/>
      <c r="N569" s="136"/>
      <c r="O569" s="136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  <c r="AN569" s="95"/>
      <c r="AO569" s="95"/>
      <c r="AP569" s="95"/>
      <c r="AQ569" s="95"/>
      <c r="AR569" s="95"/>
      <c r="AS569" s="95"/>
    </row>
    <row r="570" spans="1:45" s="32" customFormat="1" x14ac:dyDescent="0.2">
      <c r="A570" s="30"/>
      <c r="B570" s="22"/>
      <c r="C570" s="226" t="s">
        <v>461</v>
      </c>
      <c r="D570" s="86" t="s">
        <v>153</v>
      </c>
      <c r="E570" s="21"/>
      <c r="F570" s="179"/>
      <c r="G570" s="40"/>
      <c r="H570" s="40"/>
      <c r="I570" s="20"/>
      <c r="J570" s="124"/>
      <c r="K570" s="133"/>
      <c r="L570" s="92"/>
      <c r="M570" s="136"/>
      <c r="N570" s="136"/>
      <c r="O570" s="136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  <c r="AN570" s="95"/>
      <c r="AO570" s="95"/>
      <c r="AP570" s="95"/>
      <c r="AQ570" s="95"/>
      <c r="AR570" s="95"/>
      <c r="AS570" s="95"/>
    </row>
    <row r="571" spans="1:45" s="32" customFormat="1" ht="25.5" x14ac:dyDescent="0.2">
      <c r="A571" s="30"/>
      <c r="B571" s="22">
        <v>98689</v>
      </c>
      <c r="C571" s="218" t="s">
        <v>924</v>
      </c>
      <c r="D571" s="76" t="s">
        <v>159</v>
      </c>
      <c r="E571" s="21" t="s">
        <v>37</v>
      </c>
      <c r="F571" s="179">
        <v>6</v>
      </c>
      <c r="G571" s="40">
        <v>52.28</v>
      </c>
      <c r="H571" s="40">
        <f t="shared" si="56"/>
        <v>67.47</v>
      </c>
      <c r="I571" s="20">
        <f>F571*H571</f>
        <v>404.82</v>
      </c>
      <c r="J571" s="124">
        <f>I571/$I$838</f>
        <v>6.8000000000000005E-4</v>
      </c>
      <c r="K571" s="133"/>
      <c r="L571" s="92"/>
      <c r="M571" s="136"/>
      <c r="N571" s="136"/>
      <c r="O571" s="136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  <c r="AN571" s="95"/>
      <c r="AO571" s="95"/>
      <c r="AP571" s="95"/>
      <c r="AQ571" s="95"/>
      <c r="AR571" s="95"/>
      <c r="AS571" s="95"/>
    </row>
    <row r="572" spans="1:45" s="32" customFormat="1" ht="38.25" x14ac:dyDescent="0.2">
      <c r="A572" s="30"/>
      <c r="B572" s="22" t="s">
        <v>121</v>
      </c>
      <c r="C572" s="218" t="s">
        <v>925</v>
      </c>
      <c r="D572" s="76" t="s">
        <v>521</v>
      </c>
      <c r="E572" s="21" t="s">
        <v>35</v>
      </c>
      <c r="F572" s="179">
        <v>1</v>
      </c>
      <c r="G572" s="40">
        <v>1771.53</v>
      </c>
      <c r="H572" s="40">
        <f t="shared" si="56"/>
        <v>2286.5100000000002</v>
      </c>
      <c r="I572" s="20">
        <f>F572*H572</f>
        <v>2286.5100000000002</v>
      </c>
      <c r="J572" s="124">
        <f>I572/$I$838</f>
        <v>3.82E-3</v>
      </c>
      <c r="K572" s="133"/>
      <c r="L572" s="92"/>
      <c r="M572" s="136"/>
      <c r="N572" s="136"/>
      <c r="O572" s="136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  <c r="AN572" s="95"/>
      <c r="AO572" s="95"/>
      <c r="AP572" s="95"/>
      <c r="AQ572" s="95"/>
      <c r="AR572" s="95"/>
      <c r="AS572" s="95"/>
    </row>
    <row r="573" spans="1:45" s="32" customFormat="1" ht="38.25" x14ac:dyDescent="0.2">
      <c r="A573" s="30"/>
      <c r="B573" s="22" t="s">
        <v>121</v>
      </c>
      <c r="C573" s="218" t="s">
        <v>926</v>
      </c>
      <c r="D573" s="13" t="s">
        <v>462</v>
      </c>
      <c r="E573" s="21" t="s">
        <v>35</v>
      </c>
      <c r="F573" s="179">
        <v>2</v>
      </c>
      <c r="G573" s="40">
        <v>1451.61</v>
      </c>
      <c r="H573" s="40">
        <f t="shared" si="56"/>
        <v>1873.59</v>
      </c>
      <c r="I573" s="20">
        <f>F573*H573</f>
        <v>3747.18</v>
      </c>
      <c r="J573" s="124">
        <f>I573/$I$838</f>
        <v>6.2599999999999999E-3</v>
      </c>
      <c r="K573" s="133"/>
      <c r="L573" s="92"/>
      <c r="M573" s="136"/>
      <c r="N573" s="136"/>
      <c r="O573" s="136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  <c r="AN573" s="95"/>
      <c r="AO573" s="95"/>
      <c r="AP573" s="95"/>
      <c r="AQ573" s="95"/>
      <c r="AR573" s="95"/>
      <c r="AS573" s="95"/>
    </row>
    <row r="574" spans="1:45" s="32" customFormat="1" x14ac:dyDescent="0.2">
      <c r="A574" s="30"/>
      <c r="B574" s="22"/>
      <c r="C574" s="247"/>
      <c r="D574" s="316" t="s">
        <v>219</v>
      </c>
      <c r="E574" s="316"/>
      <c r="F574" s="316"/>
      <c r="G574" s="316"/>
      <c r="H574" s="317"/>
      <c r="I574" s="109">
        <f>SUM(I553:I573)</f>
        <v>12220.93</v>
      </c>
      <c r="J574" s="124"/>
      <c r="K574" s="133"/>
      <c r="L574" s="92"/>
      <c r="M574" s="136"/>
      <c r="N574" s="136"/>
      <c r="O574" s="136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  <c r="AN574" s="95"/>
      <c r="AO574" s="95"/>
      <c r="AP574" s="95"/>
      <c r="AQ574" s="95"/>
      <c r="AR574" s="95"/>
      <c r="AS574" s="95"/>
    </row>
    <row r="575" spans="1:45" s="32" customFormat="1" x14ac:dyDescent="0.2">
      <c r="A575" s="30"/>
      <c r="B575" s="22"/>
      <c r="C575" s="321" t="s">
        <v>53</v>
      </c>
      <c r="D575" s="321"/>
      <c r="E575" s="321"/>
      <c r="F575" s="321"/>
      <c r="G575" s="321"/>
      <c r="H575" s="322"/>
      <c r="I575" s="60">
        <f>SUM(I112,I157,I192,I228,I277,I295,I320,I344,I369,I393,I430,I466,I498,I518,I551,I574)</f>
        <v>189367.86</v>
      </c>
      <c r="J575" s="123">
        <f>I575/$I$838</f>
        <v>0.31659999999999999</v>
      </c>
      <c r="K575" s="133"/>
      <c r="L575" s="92"/>
      <c r="M575" s="136"/>
      <c r="N575" s="136"/>
      <c r="O575" s="136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  <c r="AN575" s="95"/>
      <c r="AO575" s="95"/>
      <c r="AP575" s="95"/>
      <c r="AQ575" s="95"/>
      <c r="AR575" s="95"/>
      <c r="AS575" s="95"/>
    </row>
    <row r="576" spans="1:45" s="32" customFormat="1" ht="13.5" thickBot="1" x14ac:dyDescent="0.25">
      <c r="A576" s="30"/>
      <c r="B576" s="22"/>
      <c r="C576" s="88"/>
      <c r="D576" s="78"/>
      <c r="E576" s="78"/>
      <c r="F576" s="78"/>
      <c r="G576" s="78"/>
      <c r="H576" s="78"/>
      <c r="I576" s="106"/>
      <c r="J576" s="82"/>
      <c r="K576" s="133"/>
      <c r="L576" s="92"/>
      <c r="M576" s="136"/>
      <c r="N576" s="136"/>
      <c r="O576" s="136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  <c r="AN576" s="95"/>
      <c r="AO576" s="95"/>
      <c r="AP576" s="95"/>
      <c r="AQ576" s="95"/>
      <c r="AR576" s="95"/>
      <c r="AS576" s="95"/>
    </row>
    <row r="577" spans="1:45" s="32" customFormat="1" ht="13.5" thickBot="1" x14ac:dyDescent="0.25">
      <c r="A577" s="30"/>
      <c r="B577" s="22"/>
      <c r="C577" s="221" t="s">
        <v>13</v>
      </c>
      <c r="D577" s="318" t="s">
        <v>77</v>
      </c>
      <c r="E577" s="319"/>
      <c r="F577" s="319"/>
      <c r="G577" s="319"/>
      <c r="H577" s="319"/>
      <c r="I577" s="320"/>
      <c r="J577" s="49"/>
      <c r="K577" s="133"/>
      <c r="L577" s="92"/>
      <c r="M577" s="136"/>
      <c r="N577" s="136"/>
      <c r="O577" s="136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  <c r="AN577" s="95"/>
      <c r="AO577" s="95"/>
      <c r="AP577" s="95"/>
      <c r="AQ577" s="95"/>
      <c r="AR577" s="95"/>
      <c r="AS577" s="95"/>
    </row>
    <row r="578" spans="1:45" s="32" customFormat="1" x14ac:dyDescent="0.2">
      <c r="A578" s="30"/>
      <c r="B578" s="22"/>
      <c r="C578" s="229" t="s">
        <v>415</v>
      </c>
      <c r="D578" s="128" t="s">
        <v>414</v>
      </c>
      <c r="E578" s="56"/>
      <c r="F578" s="180"/>
      <c r="G578" s="57"/>
      <c r="H578" s="57"/>
      <c r="I578" s="58"/>
      <c r="J578" s="222"/>
      <c r="K578" s="133"/>
      <c r="L578" s="92"/>
      <c r="M578" s="136"/>
      <c r="N578" s="136"/>
      <c r="O578" s="136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  <c r="AN578" s="95"/>
      <c r="AO578" s="95"/>
      <c r="AP578" s="95"/>
      <c r="AQ578" s="95"/>
      <c r="AR578" s="95"/>
      <c r="AS578" s="95"/>
    </row>
    <row r="579" spans="1:45" s="32" customFormat="1" ht="25.5" x14ac:dyDescent="0.2">
      <c r="A579" s="30"/>
      <c r="B579" s="22">
        <v>87879</v>
      </c>
      <c r="C579" s="230" t="s">
        <v>927</v>
      </c>
      <c r="D579" s="12" t="s">
        <v>423</v>
      </c>
      <c r="E579" s="19" t="s">
        <v>34</v>
      </c>
      <c r="F579" s="179">
        <v>155.78</v>
      </c>
      <c r="G579" s="40">
        <v>1.98</v>
      </c>
      <c r="H579" s="40">
        <f t="shared" ref="H579:H585" si="58">TRUNC((G579*(1+$I$6)),2)</f>
        <v>2.5499999999999998</v>
      </c>
      <c r="I579" s="20">
        <f>F579*H579</f>
        <v>397.24</v>
      </c>
      <c r="J579" s="124">
        <f t="shared" ref="J579:J585" si="59">I579/$I$838</f>
        <v>6.6E-4</v>
      </c>
      <c r="K579" s="133"/>
      <c r="L579" s="92"/>
      <c r="M579" s="136"/>
      <c r="N579" s="136"/>
      <c r="O579" s="136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  <c r="AN579" s="95"/>
      <c r="AO579" s="95"/>
      <c r="AP579" s="95"/>
      <c r="AQ579" s="95"/>
      <c r="AR579" s="95"/>
      <c r="AS579" s="95"/>
    </row>
    <row r="580" spans="1:45" s="32" customFormat="1" ht="51" x14ac:dyDescent="0.2">
      <c r="A580" s="30"/>
      <c r="B580" s="22">
        <v>87529</v>
      </c>
      <c r="C580" s="230" t="s">
        <v>928</v>
      </c>
      <c r="D580" s="11" t="s">
        <v>426</v>
      </c>
      <c r="E580" s="19" t="s">
        <v>34</v>
      </c>
      <c r="F580" s="179">
        <v>155.78</v>
      </c>
      <c r="G580" s="40">
        <v>16.82</v>
      </c>
      <c r="H580" s="40">
        <f t="shared" si="58"/>
        <v>21.7</v>
      </c>
      <c r="I580" s="20">
        <f>F580*H580</f>
        <v>3380.43</v>
      </c>
      <c r="J580" s="124">
        <f t="shared" si="59"/>
        <v>5.6499999999999996E-3</v>
      </c>
      <c r="K580" s="133"/>
      <c r="L580" s="92"/>
      <c r="M580" s="136"/>
      <c r="N580" s="136"/>
      <c r="O580" s="136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  <c r="AN580" s="95"/>
      <c r="AO580" s="95"/>
      <c r="AP580" s="95"/>
      <c r="AQ580" s="95"/>
      <c r="AR580" s="95"/>
      <c r="AS580" s="95"/>
    </row>
    <row r="581" spans="1:45" s="32" customFormat="1" ht="25.5" x14ac:dyDescent="0.2">
      <c r="A581" s="30"/>
      <c r="B581" s="22">
        <v>88485</v>
      </c>
      <c r="C581" s="230" t="s">
        <v>929</v>
      </c>
      <c r="D581" s="76" t="s">
        <v>428</v>
      </c>
      <c r="E581" s="21" t="s">
        <v>34</v>
      </c>
      <c r="F581" s="179">
        <v>123.5</v>
      </c>
      <c r="G581" s="40">
        <v>1.18</v>
      </c>
      <c r="H581" s="40">
        <f t="shared" si="58"/>
        <v>1.52</v>
      </c>
      <c r="I581" s="20">
        <f>F581*H581</f>
        <v>187.72</v>
      </c>
      <c r="J581" s="124">
        <f t="shared" si="59"/>
        <v>3.1E-4</v>
      </c>
      <c r="K581" s="133"/>
      <c r="L581" s="92"/>
      <c r="M581" s="136"/>
      <c r="N581" s="136"/>
      <c r="O581" s="136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  <c r="AN581" s="95"/>
      <c r="AO581" s="95"/>
      <c r="AP581" s="95"/>
      <c r="AQ581" s="95"/>
      <c r="AR581" s="95"/>
      <c r="AS581" s="95"/>
    </row>
    <row r="582" spans="1:45" s="32" customFormat="1" ht="25.5" x14ac:dyDescent="0.2">
      <c r="A582" s="30"/>
      <c r="B582" s="22">
        <v>95305</v>
      </c>
      <c r="C582" s="230" t="s">
        <v>930</v>
      </c>
      <c r="D582" s="13" t="s">
        <v>430</v>
      </c>
      <c r="E582" s="21" t="s">
        <v>34</v>
      </c>
      <c r="F582" s="179">
        <v>123.5</v>
      </c>
      <c r="G582" s="40">
        <v>7.65</v>
      </c>
      <c r="H582" s="40">
        <f t="shared" si="58"/>
        <v>9.8699999999999992</v>
      </c>
      <c r="I582" s="20">
        <f>F582*H582</f>
        <v>1218.95</v>
      </c>
      <c r="J582" s="124">
        <f t="shared" si="59"/>
        <v>2.0400000000000001E-3</v>
      </c>
      <c r="K582" s="133"/>
      <c r="L582" s="92"/>
      <c r="M582" s="136"/>
      <c r="N582" s="136"/>
      <c r="O582" s="136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  <c r="AN582" s="95"/>
      <c r="AO582" s="95"/>
      <c r="AP582" s="95"/>
      <c r="AQ582" s="95"/>
      <c r="AR582" s="95"/>
      <c r="AS582" s="95"/>
    </row>
    <row r="583" spans="1:45" s="32" customFormat="1" ht="38.25" x14ac:dyDescent="0.2">
      <c r="A583" s="30"/>
      <c r="B583" s="22">
        <v>88489</v>
      </c>
      <c r="C583" s="230" t="s">
        <v>931</v>
      </c>
      <c r="D583" s="13" t="s">
        <v>424</v>
      </c>
      <c r="E583" s="21" t="s">
        <v>34</v>
      </c>
      <c r="F583" s="179">
        <v>123.5</v>
      </c>
      <c r="G583" s="40">
        <v>7.37</v>
      </c>
      <c r="H583" s="40">
        <f t="shared" si="58"/>
        <v>9.51</v>
      </c>
      <c r="I583" s="74">
        <f>F583*H583</f>
        <v>1174.49</v>
      </c>
      <c r="J583" s="124">
        <f t="shared" si="59"/>
        <v>1.9599999999999999E-3</v>
      </c>
      <c r="K583" s="133"/>
      <c r="L583" s="92"/>
      <c r="M583" s="136"/>
      <c r="N583" s="136"/>
      <c r="O583" s="136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  <c r="AN583" s="95"/>
      <c r="AO583" s="95"/>
      <c r="AP583" s="95"/>
      <c r="AQ583" s="95"/>
      <c r="AR583" s="95"/>
      <c r="AS583" s="95"/>
    </row>
    <row r="584" spans="1:45" s="32" customFormat="1" ht="102" x14ac:dyDescent="0.2">
      <c r="A584" s="30"/>
      <c r="B584" s="22" t="s">
        <v>1224</v>
      </c>
      <c r="C584" s="230" t="s">
        <v>932</v>
      </c>
      <c r="D584" s="12" t="s">
        <v>425</v>
      </c>
      <c r="E584" s="21" t="s">
        <v>34</v>
      </c>
      <c r="F584" s="179">
        <f>134.72-F585</f>
        <v>126.12</v>
      </c>
      <c r="G584" s="40">
        <v>88.58</v>
      </c>
      <c r="H584" s="40">
        <f t="shared" si="58"/>
        <v>114.33</v>
      </c>
      <c r="I584" s="20">
        <f>F584*H584</f>
        <v>14419.3</v>
      </c>
      <c r="J584" s="124">
        <f t="shared" ref="J584" si="60">I584/$I$838</f>
        <v>2.4109999999999999E-2</v>
      </c>
      <c r="K584" s="133"/>
      <c r="L584" s="92"/>
      <c r="M584" s="136"/>
      <c r="N584" s="136"/>
      <c r="O584" s="136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  <c r="AN584" s="95"/>
      <c r="AO584" s="95"/>
      <c r="AP584" s="95"/>
      <c r="AQ584" s="95"/>
      <c r="AR584" s="95"/>
      <c r="AS584" s="95"/>
    </row>
    <row r="585" spans="1:45" s="32" customFormat="1" ht="51" x14ac:dyDescent="0.2">
      <c r="A585" s="30"/>
      <c r="B585" s="22" t="s">
        <v>1224</v>
      </c>
      <c r="C585" s="230" t="s">
        <v>1241</v>
      </c>
      <c r="D585" s="12" t="s">
        <v>1242</v>
      </c>
      <c r="E585" s="21" t="s">
        <v>34</v>
      </c>
      <c r="F585" s="179">
        <v>8.6</v>
      </c>
      <c r="G585" s="40">
        <v>88.58</v>
      </c>
      <c r="H585" s="40">
        <f t="shared" si="58"/>
        <v>114.33</v>
      </c>
      <c r="I585" s="20">
        <f>F585*H585</f>
        <v>983.24</v>
      </c>
      <c r="J585" s="124">
        <f t="shared" si="59"/>
        <v>1.64E-3</v>
      </c>
      <c r="K585" s="133"/>
      <c r="L585" s="92"/>
      <c r="M585" s="136"/>
      <c r="N585" s="136"/>
      <c r="O585" s="136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  <c r="AN585" s="95"/>
      <c r="AO585" s="95"/>
      <c r="AP585" s="95"/>
      <c r="AQ585" s="95"/>
      <c r="AR585" s="95"/>
      <c r="AS585" s="95"/>
    </row>
    <row r="586" spans="1:45" s="32" customFormat="1" x14ac:dyDescent="0.2">
      <c r="A586" s="30"/>
      <c r="B586" s="22"/>
      <c r="C586" s="247"/>
      <c r="D586" s="316" t="s">
        <v>418</v>
      </c>
      <c r="E586" s="316"/>
      <c r="F586" s="316"/>
      <c r="G586" s="316"/>
      <c r="H586" s="317"/>
      <c r="I586" s="109">
        <f>SUM(I579:I585)</f>
        <v>21761.37</v>
      </c>
      <c r="J586" s="124"/>
      <c r="K586" s="133"/>
      <c r="L586" s="92"/>
      <c r="M586" s="136"/>
      <c r="N586" s="136"/>
      <c r="O586" s="136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  <c r="AN586" s="95"/>
      <c r="AO586" s="95"/>
      <c r="AP586" s="95"/>
      <c r="AQ586" s="95"/>
      <c r="AR586" s="95"/>
      <c r="AS586" s="95"/>
    </row>
    <row r="587" spans="1:45" s="32" customFormat="1" x14ac:dyDescent="0.2">
      <c r="A587" s="30"/>
      <c r="B587" s="22"/>
      <c r="C587" s="229" t="s">
        <v>416</v>
      </c>
      <c r="D587" s="128" t="s">
        <v>417</v>
      </c>
      <c r="E587" s="56"/>
      <c r="F587" s="180"/>
      <c r="G587" s="57"/>
      <c r="H587" s="57"/>
      <c r="I587" s="58"/>
      <c r="J587" s="124"/>
      <c r="K587" s="133"/>
      <c r="L587" s="92"/>
      <c r="M587" s="136"/>
      <c r="N587" s="136"/>
      <c r="O587" s="136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  <c r="AN587" s="95"/>
      <c r="AO587" s="95"/>
      <c r="AP587" s="95"/>
      <c r="AQ587" s="95"/>
      <c r="AR587" s="95"/>
      <c r="AS587" s="95"/>
    </row>
    <row r="588" spans="1:45" s="32" customFormat="1" ht="38.25" x14ac:dyDescent="0.2">
      <c r="A588" s="30"/>
      <c r="B588" s="22">
        <v>87879</v>
      </c>
      <c r="C588" s="230" t="s">
        <v>933</v>
      </c>
      <c r="D588" s="12" t="s">
        <v>421</v>
      </c>
      <c r="E588" s="19" t="s">
        <v>34</v>
      </c>
      <c r="F588" s="179">
        <v>361.68</v>
      </c>
      <c r="G588" s="40">
        <v>1.98</v>
      </c>
      <c r="H588" s="40">
        <f t="shared" ref="H588:H592" si="61">TRUNC((G588*(1+$I$6)),2)</f>
        <v>2.5499999999999998</v>
      </c>
      <c r="I588" s="20">
        <f>F588*H588</f>
        <v>922.28</v>
      </c>
      <c r="J588" s="124">
        <f>I588/$I$838</f>
        <v>1.5399999999999999E-3</v>
      </c>
      <c r="K588" s="133"/>
      <c r="L588" s="92"/>
      <c r="M588" s="136"/>
      <c r="N588" s="136"/>
      <c r="O588" s="136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</row>
    <row r="589" spans="1:45" s="32" customFormat="1" ht="63.75" x14ac:dyDescent="0.2">
      <c r="A589" s="30"/>
      <c r="B589" s="22">
        <v>87529</v>
      </c>
      <c r="C589" s="230" t="s">
        <v>934</v>
      </c>
      <c r="D589" s="11" t="s">
        <v>427</v>
      </c>
      <c r="E589" s="19" t="s">
        <v>34</v>
      </c>
      <c r="F589" s="179">
        <v>361.68</v>
      </c>
      <c r="G589" s="40">
        <v>16.82</v>
      </c>
      <c r="H589" s="40">
        <f t="shared" si="61"/>
        <v>21.7</v>
      </c>
      <c r="I589" s="20">
        <f>F589*H589</f>
        <v>7848.46</v>
      </c>
      <c r="J589" s="124">
        <f>I589/$I$838</f>
        <v>1.312E-2</v>
      </c>
      <c r="K589" s="133"/>
      <c r="L589" s="92"/>
      <c r="M589" s="136"/>
      <c r="N589" s="136"/>
      <c r="O589" s="136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  <c r="AN589" s="95"/>
      <c r="AO589" s="95"/>
      <c r="AP589" s="95"/>
      <c r="AQ589" s="95"/>
      <c r="AR589" s="95"/>
      <c r="AS589" s="95"/>
    </row>
    <row r="590" spans="1:45" s="32" customFormat="1" ht="38.25" x14ac:dyDescent="0.2">
      <c r="A590" s="30"/>
      <c r="B590" s="22">
        <v>88485</v>
      </c>
      <c r="C590" s="230" t="s">
        <v>935</v>
      </c>
      <c r="D590" s="76" t="s">
        <v>429</v>
      </c>
      <c r="E590" s="21" t="s">
        <v>34</v>
      </c>
      <c r="F590" s="179">
        <v>361.68</v>
      </c>
      <c r="G590" s="40">
        <v>1.18</v>
      </c>
      <c r="H590" s="40">
        <f t="shared" si="61"/>
        <v>1.52</v>
      </c>
      <c r="I590" s="20">
        <f>F590*H590</f>
        <v>549.75</v>
      </c>
      <c r="J590" s="124">
        <f>I590/$I$838</f>
        <v>9.2000000000000003E-4</v>
      </c>
      <c r="K590" s="133"/>
      <c r="L590" s="92"/>
      <c r="M590" s="136"/>
      <c r="N590" s="136"/>
      <c r="O590" s="136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  <c r="AN590" s="95"/>
      <c r="AO590" s="95"/>
      <c r="AP590" s="95"/>
      <c r="AQ590" s="95"/>
      <c r="AR590" s="95"/>
      <c r="AS590" s="95"/>
    </row>
    <row r="591" spans="1:45" s="32" customFormat="1" ht="38.25" x14ac:dyDescent="0.2">
      <c r="A591" s="30"/>
      <c r="B591" s="22">
        <v>95305</v>
      </c>
      <c r="C591" s="230" t="s">
        <v>936</v>
      </c>
      <c r="D591" s="13" t="s">
        <v>431</v>
      </c>
      <c r="E591" s="21" t="s">
        <v>34</v>
      </c>
      <c r="F591" s="179">
        <v>361.68</v>
      </c>
      <c r="G591" s="40">
        <v>7.65</v>
      </c>
      <c r="H591" s="40">
        <f t="shared" si="61"/>
        <v>9.8699999999999992</v>
      </c>
      <c r="I591" s="20">
        <f>F591*H591</f>
        <v>3569.78</v>
      </c>
      <c r="J591" s="124">
        <f>I591/$I$838</f>
        <v>5.9699999999999996E-3</v>
      </c>
      <c r="K591" s="133"/>
      <c r="L591" s="92"/>
      <c r="M591" s="136"/>
      <c r="N591" s="136"/>
      <c r="O591" s="136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  <c r="AN591" s="95"/>
      <c r="AO591" s="95"/>
      <c r="AP591" s="95"/>
      <c r="AQ591" s="95"/>
      <c r="AR591" s="95"/>
      <c r="AS591" s="95"/>
    </row>
    <row r="592" spans="1:45" s="32" customFormat="1" ht="38.25" x14ac:dyDescent="0.2">
      <c r="A592" s="30"/>
      <c r="B592" s="22">
        <v>88489</v>
      </c>
      <c r="C592" s="230" t="s">
        <v>937</v>
      </c>
      <c r="D592" s="13" t="s">
        <v>422</v>
      </c>
      <c r="E592" s="21" t="s">
        <v>34</v>
      </c>
      <c r="F592" s="179">
        <v>361.68</v>
      </c>
      <c r="G592" s="40">
        <v>7.37</v>
      </c>
      <c r="H592" s="40">
        <f t="shared" si="61"/>
        <v>9.51</v>
      </c>
      <c r="I592" s="74">
        <f>F592*H592</f>
        <v>3439.58</v>
      </c>
      <c r="J592" s="124">
        <f>I592/$I$838</f>
        <v>5.7499999999999999E-3</v>
      </c>
      <c r="K592" s="133"/>
      <c r="L592" s="92"/>
      <c r="M592" s="136"/>
      <c r="N592" s="136"/>
      <c r="O592" s="136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  <c r="AN592" s="95"/>
      <c r="AO592" s="95"/>
      <c r="AP592" s="95"/>
      <c r="AQ592" s="95"/>
      <c r="AR592" s="95"/>
      <c r="AS592" s="95"/>
    </row>
    <row r="593" spans="1:45" s="32" customFormat="1" x14ac:dyDescent="0.2">
      <c r="A593" s="30"/>
      <c r="B593" s="22"/>
      <c r="C593" s="247"/>
      <c r="D593" s="316" t="s">
        <v>419</v>
      </c>
      <c r="E593" s="316"/>
      <c r="F593" s="316"/>
      <c r="G593" s="316"/>
      <c r="H593" s="317"/>
      <c r="I593" s="109">
        <f>SUM(I588:I592)</f>
        <v>16329.85</v>
      </c>
      <c r="J593" s="124"/>
      <c r="K593" s="133"/>
      <c r="L593" s="92"/>
      <c r="M593" s="136"/>
      <c r="N593" s="136"/>
      <c r="O593" s="136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  <c r="AN593" s="95"/>
      <c r="AO593" s="95"/>
      <c r="AP593" s="95"/>
      <c r="AQ593" s="95"/>
      <c r="AR593" s="95"/>
      <c r="AS593" s="95"/>
    </row>
    <row r="594" spans="1:45" s="32" customFormat="1" x14ac:dyDescent="0.2">
      <c r="A594" s="30"/>
      <c r="B594" s="22"/>
      <c r="C594" s="323" t="s">
        <v>420</v>
      </c>
      <c r="D594" s="321"/>
      <c r="E594" s="321"/>
      <c r="F594" s="321"/>
      <c r="G594" s="321"/>
      <c r="H594" s="322"/>
      <c r="I594" s="60">
        <f>SUM(I586,I593)</f>
        <v>38091.22</v>
      </c>
      <c r="J594" s="123">
        <f>I594/$I$838</f>
        <v>6.368E-2</v>
      </c>
      <c r="K594" s="133"/>
      <c r="L594" s="92"/>
      <c r="M594" s="136"/>
      <c r="N594" s="136"/>
      <c r="O594" s="136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  <c r="AN594" s="95"/>
      <c r="AO594" s="95"/>
      <c r="AP594" s="95"/>
      <c r="AQ594" s="95"/>
      <c r="AR594" s="95"/>
      <c r="AS594" s="95"/>
    </row>
    <row r="595" spans="1:45" s="32" customFormat="1" ht="13.5" thickBot="1" x14ac:dyDescent="0.25">
      <c r="A595" s="30"/>
      <c r="B595" s="22"/>
      <c r="C595" s="88"/>
      <c r="D595" s="78"/>
      <c r="E595" s="78"/>
      <c r="F595" s="78"/>
      <c r="G595" s="78"/>
      <c r="H595" s="78"/>
      <c r="I595" s="106"/>
      <c r="J595" s="82"/>
      <c r="K595" s="133"/>
      <c r="L595" s="92"/>
      <c r="M595" s="136"/>
      <c r="N595" s="136"/>
      <c r="O595" s="136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  <c r="AN595" s="95"/>
      <c r="AO595" s="95"/>
      <c r="AP595" s="95"/>
      <c r="AQ595" s="95"/>
      <c r="AR595" s="95"/>
      <c r="AS595" s="95"/>
    </row>
    <row r="596" spans="1:45" s="32" customFormat="1" ht="13.5" thickBot="1" x14ac:dyDescent="0.25">
      <c r="A596" s="30"/>
      <c r="B596" s="22"/>
      <c r="C596" s="221" t="s">
        <v>14</v>
      </c>
      <c r="D596" s="318" t="s">
        <v>71</v>
      </c>
      <c r="E596" s="319"/>
      <c r="F596" s="319"/>
      <c r="G596" s="319"/>
      <c r="H596" s="319"/>
      <c r="I596" s="320"/>
      <c r="J596" s="49"/>
      <c r="K596" s="133"/>
      <c r="L596" s="92"/>
      <c r="M596" s="136"/>
      <c r="N596" s="136"/>
      <c r="O596" s="136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</row>
    <row r="597" spans="1:45" s="32" customFormat="1" ht="38.25" x14ac:dyDescent="0.2">
      <c r="A597" s="30"/>
      <c r="B597" s="22">
        <v>92616</v>
      </c>
      <c r="C597" s="218" t="s">
        <v>640</v>
      </c>
      <c r="D597" s="13" t="s">
        <v>1244</v>
      </c>
      <c r="E597" s="21" t="s">
        <v>35</v>
      </c>
      <c r="F597" s="179">
        <v>14</v>
      </c>
      <c r="G597" s="40">
        <v>1062.03</v>
      </c>
      <c r="H597" s="40">
        <f t="shared" ref="H597:H620" si="62">TRUNC((G597*(1+$I$6)),2)</f>
        <v>1370.76</v>
      </c>
      <c r="I597" s="20">
        <f>F597*H597</f>
        <v>19190.64</v>
      </c>
      <c r="J597" s="124">
        <f t="shared" ref="J597:J621" si="63">I597/$I$838</f>
        <v>3.2079999999999997E-2</v>
      </c>
      <c r="K597" s="133"/>
      <c r="L597" s="92"/>
      <c r="M597" s="136"/>
      <c r="N597" s="136"/>
      <c r="O597" s="136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  <c r="AN597" s="95"/>
      <c r="AO597" s="95"/>
      <c r="AP597" s="95"/>
      <c r="AQ597" s="95"/>
      <c r="AR597" s="95"/>
      <c r="AS597" s="95"/>
    </row>
    <row r="598" spans="1:45" s="32" customFormat="1" ht="38.25" x14ac:dyDescent="0.2">
      <c r="A598" s="30"/>
      <c r="B598" s="22">
        <v>92614</v>
      </c>
      <c r="C598" s="218" t="s">
        <v>938</v>
      </c>
      <c r="D598" s="13" t="s">
        <v>1245</v>
      </c>
      <c r="E598" s="21" t="s">
        <v>35</v>
      </c>
      <c r="F598" s="179">
        <v>1</v>
      </c>
      <c r="G598" s="40">
        <v>934.19</v>
      </c>
      <c r="H598" s="40">
        <f t="shared" si="62"/>
        <v>1205.75</v>
      </c>
      <c r="I598" s="20">
        <f>F598*H598</f>
        <v>1205.75</v>
      </c>
      <c r="J598" s="124">
        <f t="shared" si="63"/>
        <v>2.0200000000000001E-3</v>
      </c>
      <c r="K598" s="133"/>
      <c r="L598" s="92"/>
      <c r="M598" s="136"/>
      <c r="N598" s="136"/>
      <c r="O598" s="136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  <c r="AN598" s="95"/>
      <c r="AO598" s="95"/>
      <c r="AP598" s="95"/>
      <c r="AQ598" s="95"/>
      <c r="AR598" s="95"/>
      <c r="AS598" s="95"/>
    </row>
    <row r="599" spans="1:45" s="32" customFormat="1" ht="38.25" x14ac:dyDescent="0.2">
      <c r="A599" s="30"/>
      <c r="B599" s="22">
        <v>92614</v>
      </c>
      <c r="C599" s="218" t="s">
        <v>939</v>
      </c>
      <c r="D599" s="13" t="s">
        <v>1246</v>
      </c>
      <c r="E599" s="21" t="s">
        <v>35</v>
      </c>
      <c r="F599" s="179">
        <v>1</v>
      </c>
      <c r="G599" s="40">
        <v>934.19</v>
      </c>
      <c r="H599" s="40">
        <f t="shared" si="62"/>
        <v>1205.75</v>
      </c>
      <c r="I599" s="20">
        <f>F599*H599</f>
        <v>1205.75</v>
      </c>
      <c r="J599" s="124">
        <f t="shared" si="63"/>
        <v>2.0200000000000001E-3</v>
      </c>
      <c r="K599" s="133"/>
      <c r="L599" s="92"/>
      <c r="M599" s="136"/>
      <c r="N599" s="136"/>
      <c r="O599" s="136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</row>
    <row r="600" spans="1:45" s="32" customFormat="1" ht="38.25" x14ac:dyDescent="0.2">
      <c r="A600" s="30"/>
      <c r="B600" s="22">
        <v>92608</v>
      </c>
      <c r="C600" s="218" t="s">
        <v>524</v>
      </c>
      <c r="D600" s="13" t="s">
        <v>1247</v>
      </c>
      <c r="E600" s="21" t="s">
        <v>35</v>
      </c>
      <c r="F600" s="179">
        <v>3</v>
      </c>
      <c r="G600" s="40">
        <v>659.2</v>
      </c>
      <c r="H600" s="40">
        <f t="shared" si="62"/>
        <v>850.82</v>
      </c>
      <c r="I600" s="20">
        <f>F600*H600</f>
        <v>2552.46</v>
      </c>
      <c r="J600" s="124">
        <f t="shared" si="63"/>
        <v>4.2700000000000004E-3</v>
      </c>
      <c r="K600" s="133"/>
      <c r="L600" s="92"/>
      <c r="M600" s="136"/>
      <c r="N600" s="136"/>
      <c r="O600" s="136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  <c r="AN600" s="95"/>
      <c r="AO600" s="95"/>
      <c r="AP600" s="95"/>
      <c r="AQ600" s="95"/>
      <c r="AR600" s="95"/>
      <c r="AS600" s="95"/>
    </row>
    <row r="601" spans="1:45" s="32" customFormat="1" ht="38.25" x14ac:dyDescent="0.2">
      <c r="A601" s="30"/>
      <c r="B601" s="22">
        <v>92606</v>
      </c>
      <c r="C601" s="218" t="s">
        <v>940</v>
      </c>
      <c r="D601" s="13" t="s">
        <v>1248</v>
      </c>
      <c r="E601" s="21" t="s">
        <v>35</v>
      </c>
      <c r="F601" s="179">
        <v>3</v>
      </c>
      <c r="G601" s="40">
        <v>533.30999999999995</v>
      </c>
      <c r="H601" s="40">
        <f t="shared" si="62"/>
        <v>688.34</v>
      </c>
      <c r="I601" s="20">
        <f>F601*H601</f>
        <v>2065.02</v>
      </c>
      <c r="J601" s="124">
        <f t="shared" si="63"/>
        <v>3.4499999999999999E-3</v>
      </c>
      <c r="K601" s="133"/>
      <c r="L601" s="92"/>
      <c r="M601" s="136"/>
      <c r="N601" s="136"/>
      <c r="O601" s="136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  <c r="AN601" s="95"/>
      <c r="AO601" s="95"/>
      <c r="AP601" s="95"/>
      <c r="AQ601" s="95"/>
      <c r="AR601" s="95"/>
      <c r="AS601" s="95"/>
    </row>
    <row r="602" spans="1:45" s="32" customFormat="1" ht="38.25" x14ac:dyDescent="0.2">
      <c r="A602" s="30"/>
      <c r="B602" s="22">
        <v>92580</v>
      </c>
      <c r="C602" s="218" t="s">
        <v>941</v>
      </c>
      <c r="D602" s="17" t="s">
        <v>1249</v>
      </c>
      <c r="E602" s="21" t="s">
        <v>34</v>
      </c>
      <c r="F602" s="179">
        <v>448.11</v>
      </c>
      <c r="G602" s="40">
        <v>28.28</v>
      </c>
      <c r="H602" s="40">
        <f t="shared" si="62"/>
        <v>36.5</v>
      </c>
      <c r="I602" s="20">
        <f>F602*H602</f>
        <v>16356.02</v>
      </c>
      <c r="J602" s="124">
        <f t="shared" si="63"/>
        <v>2.7349999999999999E-2</v>
      </c>
      <c r="K602" s="133"/>
      <c r="L602" s="92"/>
      <c r="M602" s="136"/>
      <c r="N602" s="136"/>
      <c r="O602" s="136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  <c r="AN602" s="95"/>
      <c r="AO602" s="95"/>
      <c r="AP602" s="95"/>
      <c r="AQ602" s="95"/>
      <c r="AR602" s="95"/>
      <c r="AS602" s="95"/>
    </row>
    <row r="603" spans="1:45" s="32" customFormat="1" ht="38.25" x14ac:dyDescent="0.2">
      <c r="A603" s="30"/>
      <c r="B603" s="22">
        <v>94226</v>
      </c>
      <c r="C603" s="218" t="s">
        <v>942</v>
      </c>
      <c r="D603" s="17" t="s">
        <v>1190</v>
      </c>
      <c r="E603" s="21" t="s">
        <v>34</v>
      </c>
      <c r="F603" s="179">
        <f>F604-25</f>
        <v>423.11</v>
      </c>
      <c r="G603" s="40">
        <v>7.39</v>
      </c>
      <c r="H603" s="40">
        <f t="shared" si="62"/>
        <v>9.5299999999999994</v>
      </c>
      <c r="I603" s="20">
        <f>F603*H603</f>
        <v>4032.24</v>
      </c>
      <c r="J603" s="124">
        <f t="shared" si="63"/>
        <v>6.7400000000000003E-3</v>
      </c>
      <c r="K603" s="133"/>
      <c r="L603" s="92"/>
      <c r="M603" s="136"/>
      <c r="N603" s="136"/>
      <c r="O603" s="136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  <c r="AN603" s="95"/>
      <c r="AO603" s="95"/>
      <c r="AP603" s="95"/>
      <c r="AQ603" s="95"/>
      <c r="AR603" s="95"/>
      <c r="AS603" s="95"/>
    </row>
    <row r="604" spans="1:45" s="32" customFormat="1" ht="38.25" x14ac:dyDescent="0.2">
      <c r="A604" s="30"/>
      <c r="B604" s="255">
        <v>94210</v>
      </c>
      <c r="C604" s="218" t="s">
        <v>943</v>
      </c>
      <c r="D604" s="256" t="s">
        <v>1187</v>
      </c>
      <c r="E604" s="85" t="s">
        <v>34</v>
      </c>
      <c r="F604" s="181">
        <v>448.11</v>
      </c>
      <c r="G604" s="40">
        <v>24.04</v>
      </c>
      <c r="H604" s="40">
        <f t="shared" si="62"/>
        <v>31.02</v>
      </c>
      <c r="I604" s="74">
        <f>F604*H604</f>
        <v>13900.37</v>
      </c>
      <c r="J604" s="124">
        <f t="shared" si="63"/>
        <v>2.324E-2</v>
      </c>
      <c r="K604" s="133"/>
      <c r="L604" s="92"/>
      <c r="M604" s="136"/>
      <c r="N604" s="136"/>
      <c r="O604" s="136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  <c r="AN604" s="95"/>
      <c r="AO604" s="95"/>
      <c r="AP604" s="95"/>
      <c r="AQ604" s="95"/>
      <c r="AR604" s="95"/>
      <c r="AS604" s="95"/>
    </row>
    <row r="605" spans="1:45" s="32" customFormat="1" ht="25.5" x14ac:dyDescent="0.2">
      <c r="A605" s="30"/>
      <c r="B605" s="255">
        <v>94223</v>
      </c>
      <c r="C605" s="218" t="s">
        <v>944</v>
      </c>
      <c r="D605" s="256" t="s">
        <v>1191</v>
      </c>
      <c r="E605" s="85" t="s">
        <v>37</v>
      </c>
      <c r="F605" s="181">
        <v>21.4</v>
      </c>
      <c r="G605" s="40">
        <v>29.27</v>
      </c>
      <c r="H605" s="40">
        <f t="shared" si="62"/>
        <v>37.770000000000003</v>
      </c>
      <c r="I605" s="74">
        <f>F605*H605</f>
        <v>808.28</v>
      </c>
      <c r="J605" s="124">
        <f t="shared" si="63"/>
        <v>1.3500000000000001E-3</v>
      </c>
      <c r="K605" s="133"/>
      <c r="L605" s="92"/>
      <c r="M605" s="136"/>
      <c r="N605" s="136"/>
      <c r="O605" s="136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  <c r="AN605" s="95"/>
      <c r="AO605" s="95"/>
      <c r="AP605" s="95"/>
      <c r="AQ605" s="95"/>
      <c r="AR605" s="95"/>
      <c r="AS605" s="95"/>
    </row>
    <row r="606" spans="1:45" s="32" customFormat="1" ht="25.5" x14ac:dyDescent="0.2">
      <c r="A606" s="30"/>
      <c r="B606" s="105" t="s">
        <v>1238</v>
      </c>
      <c r="C606" s="218" t="s">
        <v>945</v>
      </c>
      <c r="D606" s="13" t="s">
        <v>1179</v>
      </c>
      <c r="E606" s="21" t="s">
        <v>37</v>
      </c>
      <c r="F606" s="179">
        <v>22.09</v>
      </c>
      <c r="G606" s="40">
        <v>21.23</v>
      </c>
      <c r="H606" s="40">
        <f t="shared" si="62"/>
        <v>27.4</v>
      </c>
      <c r="I606" s="20">
        <f>F606*H606</f>
        <v>605.27</v>
      </c>
      <c r="J606" s="124">
        <f t="shared" si="63"/>
        <v>1.01E-3</v>
      </c>
      <c r="K606" s="133"/>
      <c r="L606" s="92"/>
      <c r="M606" s="136"/>
      <c r="N606" s="136"/>
      <c r="O606" s="136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  <c r="AN606" s="95"/>
      <c r="AO606" s="95"/>
      <c r="AP606" s="95"/>
      <c r="AQ606" s="95"/>
      <c r="AR606" s="95"/>
      <c r="AS606" s="95"/>
    </row>
    <row r="607" spans="1:45" s="32" customFormat="1" ht="25.5" x14ac:dyDescent="0.2">
      <c r="A607" s="30"/>
      <c r="B607" s="105">
        <v>102219</v>
      </c>
      <c r="C607" s="218" t="s">
        <v>946</v>
      </c>
      <c r="D607" s="13" t="s">
        <v>1180</v>
      </c>
      <c r="E607" s="21" t="s">
        <v>34</v>
      </c>
      <c r="F607" s="179">
        <v>27.65</v>
      </c>
      <c r="G607" s="40">
        <v>7.68</v>
      </c>
      <c r="H607" s="40">
        <f t="shared" si="62"/>
        <v>9.91</v>
      </c>
      <c r="I607" s="20">
        <f>F607*H607</f>
        <v>274.01</v>
      </c>
      <c r="J607" s="124">
        <f t="shared" si="63"/>
        <v>4.6000000000000001E-4</v>
      </c>
      <c r="K607" s="133"/>
      <c r="L607" s="92"/>
      <c r="M607" s="136"/>
      <c r="N607" s="136"/>
      <c r="O607" s="136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  <c r="AN607" s="95"/>
      <c r="AO607" s="95"/>
      <c r="AP607" s="95"/>
      <c r="AQ607" s="95"/>
      <c r="AR607" s="95"/>
      <c r="AS607" s="95"/>
    </row>
    <row r="608" spans="1:45" s="32" customFormat="1" ht="51" x14ac:dyDescent="0.2">
      <c r="A608" s="30"/>
      <c r="B608" s="105">
        <v>92568</v>
      </c>
      <c r="C608" s="218" t="s">
        <v>947</v>
      </c>
      <c r="D608" s="13" t="s">
        <v>286</v>
      </c>
      <c r="E608" s="21" t="s">
        <v>34</v>
      </c>
      <c r="F608" s="179">
        <v>33.979999999999997</v>
      </c>
      <c r="G608" s="40">
        <v>76.680000000000007</v>
      </c>
      <c r="H608" s="40">
        <f t="shared" si="62"/>
        <v>98.97</v>
      </c>
      <c r="I608" s="20">
        <f>F608*H608</f>
        <v>3363</v>
      </c>
      <c r="J608" s="124">
        <f t="shared" si="63"/>
        <v>5.62E-3</v>
      </c>
      <c r="K608" s="133"/>
      <c r="L608" s="92"/>
      <c r="M608" s="136"/>
      <c r="N608" s="136"/>
      <c r="O608" s="136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  <c r="AN608" s="95"/>
      <c r="AO608" s="95"/>
      <c r="AP608" s="95"/>
      <c r="AQ608" s="95"/>
      <c r="AR608" s="95"/>
      <c r="AS608" s="95"/>
    </row>
    <row r="609" spans="1:45" s="32" customFormat="1" ht="38.25" x14ac:dyDescent="0.2">
      <c r="A609" s="30"/>
      <c r="B609" s="105">
        <v>91341</v>
      </c>
      <c r="C609" s="218" t="s">
        <v>948</v>
      </c>
      <c r="D609" s="12" t="s">
        <v>358</v>
      </c>
      <c r="E609" s="19" t="s">
        <v>34</v>
      </c>
      <c r="F609" s="179">
        <f>0.7*1</f>
        <v>0.7</v>
      </c>
      <c r="G609" s="40">
        <v>517.35</v>
      </c>
      <c r="H609" s="40">
        <f t="shared" si="62"/>
        <v>667.74</v>
      </c>
      <c r="I609" s="20">
        <f>F609*H609</f>
        <v>467.42</v>
      </c>
      <c r="J609" s="124">
        <f t="shared" si="63"/>
        <v>7.7999999999999999E-4</v>
      </c>
      <c r="K609" s="133"/>
      <c r="L609" s="92"/>
      <c r="M609" s="136"/>
      <c r="N609" s="136"/>
      <c r="O609" s="136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  <c r="AN609" s="95"/>
      <c r="AO609" s="95"/>
      <c r="AP609" s="95"/>
      <c r="AQ609" s="95"/>
      <c r="AR609" s="95"/>
      <c r="AS609" s="95"/>
    </row>
    <row r="610" spans="1:45" s="32" customFormat="1" ht="38.25" x14ac:dyDescent="0.2">
      <c r="A610" s="30"/>
      <c r="B610" s="105" t="s">
        <v>289</v>
      </c>
      <c r="C610" s="218" t="s">
        <v>949</v>
      </c>
      <c r="D610" s="13" t="s">
        <v>1090</v>
      </c>
      <c r="E610" s="21" t="s">
        <v>34</v>
      </c>
      <c r="F610" s="179">
        <v>32.450000000000003</v>
      </c>
      <c r="G610" s="40">
        <v>171.5</v>
      </c>
      <c r="H610" s="40">
        <f t="shared" si="62"/>
        <v>221.35</v>
      </c>
      <c r="I610" s="20">
        <f>F610*H610</f>
        <v>7182.81</v>
      </c>
      <c r="J610" s="124">
        <f t="shared" si="63"/>
        <v>1.201E-2</v>
      </c>
      <c r="K610" s="133"/>
      <c r="L610" s="92"/>
      <c r="M610" s="136"/>
      <c r="N610" s="136"/>
      <c r="O610" s="136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  <c r="AN610" s="95"/>
      <c r="AO610" s="95"/>
      <c r="AP610" s="95"/>
      <c r="AQ610" s="95"/>
      <c r="AR610" s="95"/>
      <c r="AS610" s="95"/>
    </row>
    <row r="611" spans="1:45" s="32" customFormat="1" ht="38.25" x14ac:dyDescent="0.2">
      <c r="A611" s="30"/>
      <c r="B611" s="105" t="s">
        <v>289</v>
      </c>
      <c r="C611" s="218" t="s">
        <v>950</v>
      </c>
      <c r="D611" s="13" t="s">
        <v>1089</v>
      </c>
      <c r="E611" s="21" t="s">
        <v>34</v>
      </c>
      <c r="F611" s="179">
        <v>8.9700000000000006</v>
      </c>
      <c r="G611" s="40">
        <v>171.5</v>
      </c>
      <c r="H611" s="40">
        <f t="shared" si="62"/>
        <v>221.35</v>
      </c>
      <c r="I611" s="20">
        <f>F611*H611</f>
        <v>1985.51</v>
      </c>
      <c r="J611" s="124">
        <f t="shared" si="63"/>
        <v>3.32E-3</v>
      </c>
      <c r="K611" s="133"/>
      <c r="L611" s="92"/>
      <c r="M611" s="136"/>
      <c r="N611" s="136"/>
      <c r="O611" s="136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  <c r="AN611" s="95"/>
      <c r="AO611" s="95"/>
      <c r="AP611" s="95"/>
      <c r="AQ611" s="95"/>
      <c r="AR611" s="95"/>
      <c r="AS611" s="95"/>
    </row>
    <row r="612" spans="1:45" s="32" customFormat="1" ht="63.75" x14ac:dyDescent="0.2">
      <c r="A612" s="30"/>
      <c r="B612" s="22">
        <v>96485</v>
      </c>
      <c r="C612" s="218" t="s">
        <v>951</v>
      </c>
      <c r="D612" s="13" t="s">
        <v>226</v>
      </c>
      <c r="E612" s="21" t="s">
        <v>34</v>
      </c>
      <c r="F612" s="179">
        <v>41.97</v>
      </c>
      <c r="G612" s="40">
        <v>46.55</v>
      </c>
      <c r="H612" s="40">
        <f t="shared" si="62"/>
        <v>60.08</v>
      </c>
      <c r="I612" s="20">
        <f>F612*H612</f>
        <v>2521.56</v>
      </c>
      <c r="J612" s="124">
        <f t="shared" si="63"/>
        <v>4.2199999999999998E-3</v>
      </c>
      <c r="K612" s="133"/>
      <c r="L612" s="92"/>
      <c r="M612" s="136"/>
      <c r="N612" s="136"/>
      <c r="O612" s="136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  <c r="AN612" s="95"/>
      <c r="AO612" s="95"/>
      <c r="AP612" s="95"/>
      <c r="AQ612" s="95"/>
      <c r="AR612" s="95"/>
      <c r="AS612" s="95"/>
    </row>
    <row r="613" spans="1:45" s="32" customFormat="1" ht="25.5" x14ac:dyDescent="0.2">
      <c r="A613" s="30"/>
      <c r="B613" s="22">
        <v>96121</v>
      </c>
      <c r="C613" s="218" t="s">
        <v>952</v>
      </c>
      <c r="D613" s="13" t="s">
        <v>227</v>
      </c>
      <c r="E613" s="21" t="s">
        <v>37</v>
      </c>
      <c r="F613" s="179">
        <v>126.6</v>
      </c>
      <c r="G613" s="40">
        <v>7.03</v>
      </c>
      <c r="H613" s="40">
        <f t="shared" si="62"/>
        <v>9.07</v>
      </c>
      <c r="I613" s="20">
        <f>F613*H613</f>
        <v>1148.26</v>
      </c>
      <c r="J613" s="124">
        <f t="shared" si="63"/>
        <v>1.92E-3</v>
      </c>
      <c r="K613" s="133"/>
      <c r="L613" s="92"/>
      <c r="M613" s="136"/>
      <c r="N613" s="136"/>
      <c r="O613" s="136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  <c r="AN613" s="95"/>
      <c r="AO613" s="95"/>
      <c r="AP613" s="95"/>
      <c r="AQ613" s="95"/>
      <c r="AR613" s="95"/>
      <c r="AS613" s="95"/>
    </row>
    <row r="614" spans="1:45" s="32" customFormat="1" ht="25.5" x14ac:dyDescent="0.2">
      <c r="A614" s="30"/>
      <c r="B614" s="22">
        <v>94231</v>
      </c>
      <c r="C614" s="218" t="s">
        <v>953</v>
      </c>
      <c r="D614" s="13" t="s">
        <v>60</v>
      </c>
      <c r="E614" s="21" t="s">
        <v>37</v>
      </c>
      <c r="F614" s="179">
        <v>58.61</v>
      </c>
      <c r="G614" s="40">
        <v>32.01</v>
      </c>
      <c r="H614" s="40">
        <f t="shared" si="62"/>
        <v>41.31</v>
      </c>
      <c r="I614" s="20">
        <f>F614*H614</f>
        <v>2421.1799999999998</v>
      </c>
      <c r="J614" s="124">
        <f t="shared" si="63"/>
        <v>4.0499999999999998E-3</v>
      </c>
      <c r="K614" s="133"/>
      <c r="L614" s="92"/>
      <c r="M614" s="136"/>
      <c r="N614" s="136"/>
      <c r="O614" s="136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  <c r="AN614" s="95"/>
      <c r="AO614" s="95"/>
      <c r="AP614" s="95"/>
      <c r="AQ614" s="95"/>
      <c r="AR614" s="95"/>
      <c r="AS614" s="95"/>
    </row>
    <row r="615" spans="1:45" s="32" customFormat="1" ht="38.25" x14ac:dyDescent="0.2">
      <c r="A615" s="30"/>
      <c r="B615" s="22">
        <v>94231</v>
      </c>
      <c r="C615" s="218" t="s">
        <v>1165</v>
      </c>
      <c r="D615" s="13" t="s">
        <v>343</v>
      </c>
      <c r="E615" s="21" t="s">
        <v>37</v>
      </c>
      <c r="F615" s="179">
        <v>99.14</v>
      </c>
      <c r="G615" s="40">
        <v>32.01</v>
      </c>
      <c r="H615" s="40">
        <f t="shared" si="62"/>
        <v>41.31</v>
      </c>
      <c r="I615" s="20">
        <f>F615*H615</f>
        <v>4095.47</v>
      </c>
      <c r="J615" s="124">
        <f t="shared" si="63"/>
        <v>6.8500000000000002E-3</v>
      </c>
      <c r="K615" s="133"/>
      <c r="L615" s="92"/>
      <c r="M615" s="136"/>
      <c r="N615" s="136"/>
      <c r="O615" s="136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  <c r="AN615" s="95"/>
      <c r="AO615" s="95"/>
      <c r="AP615" s="95"/>
      <c r="AQ615" s="95"/>
      <c r="AR615" s="95"/>
      <c r="AS615" s="95"/>
    </row>
    <row r="616" spans="1:45" s="32" customFormat="1" ht="38.25" x14ac:dyDescent="0.2">
      <c r="A616" s="30"/>
      <c r="B616" s="22">
        <v>94227</v>
      </c>
      <c r="C616" s="218" t="s">
        <v>1166</v>
      </c>
      <c r="D616" s="13" t="s">
        <v>285</v>
      </c>
      <c r="E616" s="21" t="s">
        <v>37</v>
      </c>
      <c r="F616" s="179">
        <v>9.9</v>
      </c>
      <c r="G616" s="40">
        <v>40.76</v>
      </c>
      <c r="H616" s="40">
        <f t="shared" si="62"/>
        <v>52.6</v>
      </c>
      <c r="I616" s="20">
        <f>F616*H616</f>
        <v>520.74</v>
      </c>
      <c r="J616" s="124">
        <f t="shared" si="63"/>
        <v>8.7000000000000001E-4</v>
      </c>
      <c r="K616" s="133"/>
      <c r="L616" s="92"/>
      <c r="M616" s="136"/>
      <c r="N616" s="136"/>
      <c r="O616" s="136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  <c r="AN616" s="95"/>
      <c r="AO616" s="95"/>
      <c r="AP616" s="95"/>
      <c r="AQ616" s="95"/>
      <c r="AR616" s="95"/>
      <c r="AS616" s="95"/>
    </row>
    <row r="617" spans="1:45" s="32" customFormat="1" ht="38.25" x14ac:dyDescent="0.2">
      <c r="A617" s="30"/>
      <c r="B617" s="22">
        <v>94228</v>
      </c>
      <c r="C617" s="218" t="s">
        <v>1177</v>
      </c>
      <c r="D617" s="13" t="s">
        <v>109</v>
      </c>
      <c r="E617" s="21" t="s">
        <v>37</v>
      </c>
      <c r="F617" s="179">
        <v>52.43</v>
      </c>
      <c r="G617" s="40">
        <v>55.27</v>
      </c>
      <c r="H617" s="40">
        <f t="shared" si="62"/>
        <v>71.33</v>
      </c>
      <c r="I617" s="20">
        <f>F617*H617</f>
        <v>3739.83</v>
      </c>
      <c r="J617" s="124">
        <f t="shared" si="63"/>
        <v>6.2500000000000003E-3</v>
      </c>
      <c r="K617" s="133"/>
      <c r="L617" s="92"/>
      <c r="M617" s="136"/>
      <c r="N617" s="136"/>
      <c r="O617" s="136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  <c r="AN617" s="95"/>
      <c r="AO617" s="95"/>
      <c r="AP617" s="95"/>
      <c r="AQ617" s="95"/>
      <c r="AR617" s="95"/>
      <c r="AS617" s="95"/>
    </row>
    <row r="618" spans="1:45" s="32" customFormat="1" ht="25.5" x14ac:dyDescent="0.2">
      <c r="A618" s="30"/>
      <c r="B618" s="22">
        <v>89576</v>
      </c>
      <c r="C618" s="218" t="s">
        <v>1178</v>
      </c>
      <c r="D618" s="13" t="s">
        <v>118</v>
      </c>
      <c r="E618" s="21" t="s">
        <v>37</v>
      </c>
      <c r="F618" s="179">
        <v>0.85</v>
      </c>
      <c r="G618" s="40">
        <v>14.93</v>
      </c>
      <c r="H618" s="40">
        <f t="shared" si="62"/>
        <v>19.27</v>
      </c>
      <c r="I618" s="20">
        <f>F618*H618</f>
        <v>16.38</v>
      </c>
      <c r="J618" s="124">
        <f t="shared" si="63"/>
        <v>3.0000000000000001E-5</v>
      </c>
      <c r="K618" s="133"/>
      <c r="L618" s="92"/>
      <c r="M618" s="136"/>
      <c r="N618" s="136"/>
      <c r="O618" s="136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  <c r="AN618" s="95"/>
      <c r="AO618" s="95"/>
      <c r="AP618" s="95"/>
      <c r="AQ618" s="95"/>
      <c r="AR618" s="95"/>
      <c r="AS618" s="95"/>
    </row>
    <row r="619" spans="1:45" s="32" customFormat="1" ht="25.5" x14ac:dyDescent="0.2">
      <c r="A619" s="30"/>
      <c r="B619" s="22">
        <v>89576</v>
      </c>
      <c r="C619" s="218" t="s">
        <v>1188</v>
      </c>
      <c r="D619" s="13" t="s">
        <v>1175</v>
      </c>
      <c r="E619" s="21" t="s">
        <v>37</v>
      </c>
      <c r="F619" s="179">
        <v>2.7</v>
      </c>
      <c r="G619" s="40">
        <v>14.93</v>
      </c>
      <c r="H619" s="40">
        <f t="shared" si="62"/>
        <v>19.27</v>
      </c>
      <c r="I619" s="20">
        <f>F619*H619</f>
        <v>52.03</v>
      </c>
      <c r="J619" s="124">
        <f t="shared" si="63"/>
        <v>9.0000000000000006E-5</v>
      </c>
      <c r="K619" s="133"/>
      <c r="L619" s="92"/>
      <c r="M619" s="136"/>
      <c r="N619" s="136"/>
      <c r="O619" s="136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  <c r="AN619" s="95"/>
      <c r="AO619" s="95"/>
      <c r="AP619" s="95"/>
      <c r="AQ619" s="95"/>
      <c r="AR619" s="95"/>
      <c r="AS619" s="95"/>
    </row>
    <row r="620" spans="1:45" s="32" customFormat="1" ht="38.25" x14ac:dyDescent="0.2">
      <c r="A620" s="30"/>
      <c r="B620" s="22">
        <v>89578</v>
      </c>
      <c r="C620" s="218" t="s">
        <v>1189</v>
      </c>
      <c r="D620" s="13" t="s">
        <v>113</v>
      </c>
      <c r="E620" s="21" t="s">
        <v>37</v>
      </c>
      <c r="F620" s="179">
        <f>63.9+2.5</f>
        <v>66.400000000000006</v>
      </c>
      <c r="G620" s="40">
        <v>25.81</v>
      </c>
      <c r="H620" s="40">
        <f t="shared" si="62"/>
        <v>33.31</v>
      </c>
      <c r="I620" s="20">
        <f>F620*H620</f>
        <v>2211.7800000000002</v>
      </c>
      <c r="J620" s="124">
        <f t="shared" si="63"/>
        <v>3.7000000000000002E-3</v>
      </c>
      <c r="K620" s="133"/>
      <c r="L620" s="92"/>
      <c r="M620" s="136"/>
      <c r="N620" s="136"/>
      <c r="O620" s="136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</row>
    <row r="621" spans="1:45" s="32" customFormat="1" x14ac:dyDescent="0.2">
      <c r="A621" s="30"/>
      <c r="B621" s="22"/>
      <c r="C621" s="246"/>
      <c r="D621" s="77"/>
      <c r="E621" s="174"/>
      <c r="F621" s="174"/>
      <c r="G621" s="290"/>
      <c r="H621" s="206" t="s">
        <v>78</v>
      </c>
      <c r="I621" s="60">
        <f>SUM(I597:I620)</f>
        <v>91921.78</v>
      </c>
      <c r="J621" s="123">
        <f t="shared" si="63"/>
        <v>0.15368000000000001</v>
      </c>
      <c r="K621" s="133"/>
      <c r="L621" s="92"/>
      <c r="M621" s="136"/>
      <c r="N621" s="136"/>
      <c r="O621" s="136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</row>
    <row r="622" spans="1:45" s="32" customFormat="1" ht="13.5" thickBot="1" x14ac:dyDescent="0.25">
      <c r="A622" s="30"/>
      <c r="B622" s="22"/>
      <c r="C622" s="78"/>
      <c r="D622" s="78"/>
      <c r="E622" s="78"/>
      <c r="F622" s="78"/>
      <c r="G622" s="78"/>
      <c r="H622" s="78"/>
      <c r="I622" s="106"/>
      <c r="J622" s="82"/>
      <c r="K622" s="133"/>
      <c r="L622" s="92"/>
      <c r="M622" s="136"/>
      <c r="N622" s="136"/>
      <c r="O622" s="136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  <c r="AN622" s="95"/>
      <c r="AO622" s="95"/>
      <c r="AP622" s="95"/>
      <c r="AQ622" s="95"/>
      <c r="AR622" s="95"/>
      <c r="AS622" s="95"/>
    </row>
    <row r="623" spans="1:45" s="32" customFormat="1" ht="13.5" thickBot="1" x14ac:dyDescent="0.25">
      <c r="A623" s="30"/>
      <c r="B623" s="22"/>
      <c r="C623" s="221" t="s">
        <v>15</v>
      </c>
      <c r="D623" s="318" t="s">
        <v>300</v>
      </c>
      <c r="E623" s="319"/>
      <c r="F623" s="319"/>
      <c r="G623" s="319"/>
      <c r="H623" s="319"/>
      <c r="I623" s="320"/>
      <c r="J623" s="49"/>
      <c r="K623" s="133"/>
      <c r="L623" s="92"/>
      <c r="M623" s="136"/>
      <c r="N623" s="136"/>
      <c r="O623" s="136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  <c r="AN623" s="95"/>
      <c r="AO623" s="95"/>
      <c r="AP623" s="95"/>
      <c r="AQ623" s="95"/>
      <c r="AR623" s="95"/>
      <c r="AS623" s="95"/>
    </row>
    <row r="624" spans="1:45" s="32" customFormat="1" x14ac:dyDescent="0.2">
      <c r="A624" s="30"/>
      <c r="B624" s="22"/>
      <c r="C624" s="55" t="s">
        <v>954</v>
      </c>
      <c r="D624" s="55" t="s">
        <v>292</v>
      </c>
      <c r="E624" s="56"/>
      <c r="F624" s="180"/>
      <c r="G624" s="57"/>
      <c r="H624" s="57"/>
      <c r="I624" s="58"/>
      <c r="J624" s="125"/>
      <c r="K624" s="133"/>
      <c r="L624" s="92"/>
      <c r="M624" s="136"/>
      <c r="N624" s="136"/>
      <c r="O624" s="136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</row>
    <row r="625" spans="1:45" s="32" customFormat="1" ht="38.25" x14ac:dyDescent="0.2">
      <c r="A625" s="30"/>
      <c r="B625" s="105" t="s">
        <v>293</v>
      </c>
      <c r="C625" s="218" t="s">
        <v>955</v>
      </c>
      <c r="D625" s="13" t="s">
        <v>295</v>
      </c>
      <c r="E625" s="21" t="s">
        <v>35</v>
      </c>
      <c r="F625" s="179">
        <v>1</v>
      </c>
      <c r="G625" s="40">
        <v>3375.99</v>
      </c>
      <c r="H625" s="40">
        <f t="shared" ref="H625:H629" si="64">TRUNC((G625*(1+$I$6)),2)</f>
        <v>4357.3900000000003</v>
      </c>
      <c r="I625" s="20">
        <f>F625*H625</f>
        <v>4357.3900000000003</v>
      </c>
      <c r="J625" s="124">
        <f>I625/$I$838</f>
        <v>7.2899999999999996E-3</v>
      </c>
      <c r="K625" s="133"/>
      <c r="L625" s="92"/>
      <c r="M625" s="136"/>
      <c r="N625" s="136"/>
      <c r="O625" s="136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  <c r="AN625" s="95"/>
      <c r="AO625" s="95"/>
      <c r="AP625" s="95"/>
      <c r="AQ625" s="95"/>
      <c r="AR625" s="95"/>
      <c r="AS625" s="95"/>
    </row>
    <row r="626" spans="1:45" s="32" customFormat="1" ht="25.5" x14ac:dyDescent="0.2">
      <c r="A626" s="30"/>
      <c r="B626" s="22">
        <v>91940</v>
      </c>
      <c r="C626" s="218" t="s">
        <v>956</v>
      </c>
      <c r="D626" s="13" t="s">
        <v>296</v>
      </c>
      <c r="E626" s="21" t="s">
        <v>35</v>
      </c>
      <c r="F626" s="179">
        <v>27</v>
      </c>
      <c r="G626" s="40">
        <v>8.68</v>
      </c>
      <c r="H626" s="40">
        <f t="shared" si="64"/>
        <v>11.2</v>
      </c>
      <c r="I626" s="20">
        <f>F626*H626</f>
        <v>302.39999999999998</v>
      </c>
      <c r="J626" s="124">
        <f>I626/$I$838</f>
        <v>5.1000000000000004E-4</v>
      </c>
      <c r="K626" s="133"/>
      <c r="L626" s="92"/>
      <c r="M626" s="136"/>
      <c r="N626" s="136"/>
      <c r="O626" s="136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  <c r="AN626" s="95"/>
      <c r="AO626" s="95"/>
      <c r="AP626" s="95"/>
      <c r="AQ626" s="95"/>
      <c r="AR626" s="95"/>
      <c r="AS626" s="95"/>
    </row>
    <row r="627" spans="1:45" s="32" customFormat="1" ht="25.5" x14ac:dyDescent="0.2">
      <c r="A627" s="30"/>
      <c r="B627" s="22">
        <v>98297</v>
      </c>
      <c r="C627" s="218" t="s">
        <v>957</v>
      </c>
      <c r="D627" s="13" t="s">
        <v>297</v>
      </c>
      <c r="E627" s="21" t="s">
        <v>37</v>
      </c>
      <c r="F627" s="179">
        <v>305</v>
      </c>
      <c r="G627" s="40">
        <v>2.21</v>
      </c>
      <c r="H627" s="40">
        <f t="shared" si="64"/>
        <v>2.85</v>
      </c>
      <c r="I627" s="20">
        <f>F627*H627</f>
        <v>869.25</v>
      </c>
      <c r="J627" s="124">
        <f>I627/$I$838</f>
        <v>1.4499999999999999E-3</v>
      </c>
      <c r="K627" s="133"/>
      <c r="L627" s="92"/>
      <c r="M627" s="136"/>
      <c r="N627" s="136"/>
      <c r="O627" s="136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  <c r="AN627" s="95"/>
      <c r="AO627" s="95"/>
      <c r="AP627" s="95"/>
      <c r="AQ627" s="95"/>
      <c r="AR627" s="95"/>
      <c r="AS627" s="95"/>
    </row>
    <row r="628" spans="1:45" s="32" customFormat="1" ht="25.5" x14ac:dyDescent="0.2">
      <c r="A628" s="30"/>
      <c r="B628" s="22" t="s">
        <v>1239</v>
      </c>
      <c r="C628" s="218" t="s">
        <v>958</v>
      </c>
      <c r="D628" s="13" t="s">
        <v>298</v>
      </c>
      <c r="E628" s="21" t="s">
        <v>35</v>
      </c>
      <c r="F628" s="179">
        <v>1</v>
      </c>
      <c r="G628" s="40">
        <v>119.13</v>
      </c>
      <c r="H628" s="40">
        <f t="shared" si="64"/>
        <v>153.76</v>
      </c>
      <c r="I628" s="20">
        <f>F628*H628</f>
        <v>153.76</v>
      </c>
      <c r="J628" s="124">
        <f>I628/$I$838</f>
        <v>2.5999999999999998E-4</v>
      </c>
      <c r="K628" s="133"/>
      <c r="L628" s="92"/>
      <c r="M628" s="136"/>
      <c r="N628" s="136"/>
      <c r="O628" s="136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  <c r="AN628" s="95"/>
      <c r="AO628" s="95"/>
      <c r="AP628" s="95"/>
      <c r="AQ628" s="95"/>
      <c r="AR628" s="95"/>
      <c r="AS628" s="95"/>
    </row>
    <row r="629" spans="1:45" s="32" customFormat="1" ht="38.25" x14ac:dyDescent="0.2">
      <c r="A629" s="30"/>
      <c r="B629" s="22">
        <v>91854</v>
      </c>
      <c r="C629" s="218" t="s">
        <v>959</v>
      </c>
      <c r="D629" s="13" t="s">
        <v>299</v>
      </c>
      <c r="E629" s="21" t="s">
        <v>37</v>
      </c>
      <c r="F629" s="179">
        <v>200</v>
      </c>
      <c r="G629" s="40">
        <v>5.21</v>
      </c>
      <c r="H629" s="40">
        <f t="shared" si="64"/>
        <v>6.72</v>
      </c>
      <c r="I629" s="20">
        <f>F629*H629</f>
        <v>1344</v>
      </c>
      <c r="J629" s="124">
        <f>I629/$I$838</f>
        <v>2.2499999999999998E-3</v>
      </c>
      <c r="K629" s="133"/>
      <c r="L629" s="92"/>
      <c r="M629" s="136"/>
      <c r="N629" s="136"/>
      <c r="O629" s="136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  <c r="AN629" s="95"/>
      <c r="AO629" s="95"/>
      <c r="AP629" s="95"/>
      <c r="AQ629" s="95"/>
      <c r="AR629" s="95"/>
      <c r="AS629" s="95"/>
    </row>
    <row r="630" spans="1:45" s="32" customFormat="1" x14ac:dyDescent="0.2">
      <c r="A630" s="30"/>
      <c r="B630" s="22"/>
      <c r="C630" s="231"/>
      <c r="D630" s="325" t="s">
        <v>294</v>
      </c>
      <c r="E630" s="325"/>
      <c r="F630" s="325"/>
      <c r="G630" s="325"/>
      <c r="H630" s="326"/>
      <c r="I630" s="110">
        <f>SUM(I625:I629)</f>
        <v>7026.8</v>
      </c>
      <c r="J630" s="124"/>
      <c r="K630" s="133"/>
      <c r="L630" s="92"/>
      <c r="M630" s="136"/>
      <c r="N630" s="136"/>
      <c r="O630" s="136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  <c r="AN630" s="95"/>
      <c r="AO630" s="95"/>
      <c r="AP630" s="95"/>
      <c r="AQ630" s="95"/>
      <c r="AR630" s="95"/>
      <c r="AS630" s="95"/>
    </row>
    <row r="631" spans="1:45" s="32" customFormat="1" x14ac:dyDescent="0.2">
      <c r="A631" s="30"/>
      <c r="B631" s="22"/>
      <c r="C631" s="55" t="s">
        <v>960</v>
      </c>
      <c r="D631" s="55" t="s">
        <v>46</v>
      </c>
      <c r="E631" s="56"/>
      <c r="F631" s="180"/>
      <c r="G631" s="57"/>
      <c r="H631" s="57"/>
      <c r="I631" s="58"/>
      <c r="J631" s="125"/>
      <c r="K631" s="133"/>
      <c r="L631" s="92"/>
      <c r="M631" s="136"/>
      <c r="N631" s="136"/>
      <c r="O631" s="136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  <c r="AN631" s="95"/>
      <c r="AO631" s="95"/>
      <c r="AP631" s="95"/>
      <c r="AQ631" s="95"/>
      <c r="AR631" s="95"/>
      <c r="AS631" s="95"/>
    </row>
    <row r="632" spans="1:45" s="32" customFormat="1" x14ac:dyDescent="0.2">
      <c r="A632" s="30"/>
      <c r="B632" s="22"/>
      <c r="C632" s="226" t="s">
        <v>961</v>
      </c>
      <c r="D632" s="84" t="s">
        <v>301</v>
      </c>
      <c r="E632" s="38"/>
      <c r="F632" s="179"/>
      <c r="G632" s="40"/>
      <c r="H632" s="40"/>
      <c r="I632" s="20"/>
      <c r="J632" s="125"/>
      <c r="K632" s="133"/>
      <c r="L632" s="92"/>
      <c r="M632" s="136"/>
      <c r="N632" s="136"/>
      <c r="O632" s="136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  <c r="AN632" s="95"/>
      <c r="AO632" s="95"/>
      <c r="AP632" s="95"/>
      <c r="AQ632" s="95"/>
      <c r="AR632" s="95"/>
      <c r="AS632" s="95"/>
    </row>
    <row r="633" spans="1:45" s="32" customFormat="1" ht="38.25" x14ac:dyDescent="0.2">
      <c r="A633" s="30"/>
      <c r="B633" s="105">
        <v>91924</v>
      </c>
      <c r="C633" s="218" t="s">
        <v>598</v>
      </c>
      <c r="D633" s="13" t="s">
        <v>302</v>
      </c>
      <c r="E633" s="21" t="s">
        <v>37</v>
      </c>
      <c r="F633" s="179">
        <v>1000</v>
      </c>
      <c r="G633" s="40">
        <v>1.72</v>
      </c>
      <c r="H633" s="40">
        <f t="shared" ref="H633:H639" si="65">TRUNC((G633*(1+$I$6)),2)</f>
        <v>2.2200000000000002</v>
      </c>
      <c r="I633" s="20">
        <f>F633*H633</f>
        <v>2220</v>
      </c>
      <c r="J633" s="124">
        <f t="shared" ref="J633:J639" si="66">I633/$I$838</f>
        <v>3.7100000000000002E-3</v>
      </c>
      <c r="K633" s="133"/>
      <c r="L633" s="92"/>
      <c r="M633" s="136"/>
      <c r="N633" s="136"/>
      <c r="O633" s="136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  <c r="AN633" s="95"/>
      <c r="AO633" s="95"/>
      <c r="AP633" s="95"/>
      <c r="AQ633" s="95"/>
      <c r="AR633" s="95"/>
      <c r="AS633" s="95"/>
    </row>
    <row r="634" spans="1:45" s="32" customFormat="1" ht="38.25" x14ac:dyDescent="0.2">
      <c r="A634" s="30"/>
      <c r="B634" s="22">
        <v>91926</v>
      </c>
      <c r="C634" s="218" t="s">
        <v>962</v>
      </c>
      <c r="D634" s="13" t="s">
        <v>303</v>
      </c>
      <c r="E634" s="21" t="s">
        <v>37</v>
      </c>
      <c r="F634" s="179">
        <v>1700</v>
      </c>
      <c r="G634" s="40">
        <v>2.48</v>
      </c>
      <c r="H634" s="40">
        <f t="shared" si="65"/>
        <v>3.2</v>
      </c>
      <c r="I634" s="20">
        <f>F634*H634</f>
        <v>5440</v>
      </c>
      <c r="J634" s="124">
        <f t="shared" si="66"/>
        <v>9.1000000000000004E-3</v>
      </c>
      <c r="K634" s="133"/>
      <c r="L634" s="92"/>
      <c r="M634" s="136"/>
      <c r="N634" s="136"/>
      <c r="O634" s="136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  <c r="AN634" s="95"/>
      <c r="AO634" s="95"/>
      <c r="AP634" s="95"/>
      <c r="AQ634" s="95"/>
      <c r="AR634" s="95"/>
      <c r="AS634" s="95"/>
    </row>
    <row r="635" spans="1:45" s="32" customFormat="1" ht="38.25" x14ac:dyDescent="0.2">
      <c r="A635" s="30"/>
      <c r="B635" s="22">
        <v>91930</v>
      </c>
      <c r="C635" s="218" t="s">
        <v>963</v>
      </c>
      <c r="D635" s="13" t="s">
        <v>304</v>
      </c>
      <c r="E635" s="21" t="s">
        <v>37</v>
      </c>
      <c r="F635" s="179">
        <v>100</v>
      </c>
      <c r="G635" s="40">
        <v>5.49</v>
      </c>
      <c r="H635" s="40">
        <f t="shared" si="65"/>
        <v>7.08</v>
      </c>
      <c r="I635" s="20">
        <f>F635*H635</f>
        <v>708</v>
      </c>
      <c r="J635" s="124">
        <f t="shared" si="66"/>
        <v>1.1800000000000001E-3</v>
      </c>
      <c r="K635" s="133"/>
      <c r="L635" s="92"/>
      <c r="M635" s="136"/>
      <c r="N635" s="136"/>
      <c r="O635" s="136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  <c r="AN635" s="95"/>
      <c r="AO635" s="95"/>
      <c r="AP635" s="95"/>
      <c r="AQ635" s="95"/>
      <c r="AR635" s="95"/>
      <c r="AS635" s="95"/>
    </row>
    <row r="636" spans="1:45" s="32" customFormat="1" ht="38.25" x14ac:dyDescent="0.2">
      <c r="A636" s="30"/>
      <c r="B636" s="22">
        <v>91928</v>
      </c>
      <c r="C636" s="218" t="s">
        <v>964</v>
      </c>
      <c r="D636" s="13" t="s">
        <v>305</v>
      </c>
      <c r="E636" s="21" t="s">
        <v>37</v>
      </c>
      <c r="F636" s="179">
        <v>500</v>
      </c>
      <c r="G636" s="40">
        <v>4.0199999999999996</v>
      </c>
      <c r="H636" s="40">
        <f t="shared" si="65"/>
        <v>5.18</v>
      </c>
      <c r="I636" s="20">
        <f>F636*H636</f>
        <v>2590</v>
      </c>
      <c r="J636" s="124">
        <f t="shared" si="66"/>
        <v>4.3299999999999996E-3</v>
      </c>
      <c r="K636" s="133"/>
      <c r="L636" s="92"/>
      <c r="M636" s="136"/>
      <c r="N636" s="136"/>
      <c r="O636" s="136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  <c r="AN636" s="95"/>
      <c r="AO636" s="95"/>
      <c r="AP636" s="95"/>
      <c r="AQ636" s="95"/>
      <c r="AR636" s="95"/>
      <c r="AS636" s="95"/>
    </row>
    <row r="637" spans="1:45" s="32" customFormat="1" ht="38.25" x14ac:dyDescent="0.2">
      <c r="A637" s="30"/>
      <c r="B637" s="22">
        <v>92982</v>
      </c>
      <c r="C637" s="218" t="s">
        <v>965</v>
      </c>
      <c r="D637" s="13" t="s">
        <v>306</v>
      </c>
      <c r="E637" s="21" t="s">
        <v>37</v>
      </c>
      <c r="F637" s="179">
        <v>75</v>
      </c>
      <c r="G637" s="40">
        <v>10.16</v>
      </c>
      <c r="H637" s="40">
        <f t="shared" si="65"/>
        <v>13.11</v>
      </c>
      <c r="I637" s="20">
        <f>F637*H637</f>
        <v>983.25</v>
      </c>
      <c r="J637" s="124">
        <f t="shared" si="66"/>
        <v>1.64E-3</v>
      </c>
      <c r="K637" s="133"/>
      <c r="L637" s="92"/>
      <c r="M637" s="136"/>
      <c r="N637" s="136"/>
      <c r="O637" s="136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  <c r="AN637" s="95"/>
      <c r="AO637" s="95"/>
      <c r="AP637" s="95"/>
      <c r="AQ637" s="95"/>
      <c r="AR637" s="95"/>
      <c r="AS637" s="95"/>
    </row>
    <row r="638" spans="1:45" s="32" customFormat="1" ht="38.25" x14ac:dyDescent="0.2">
      <c r="A638" s="30"/>
      <c r="B638" s="22">
        <v>92986</v>
      </c>
      <c r="C638" s="218" t="s">
        <v>966</v>
      </c>
      <c r="D638" s="13" t="s">
        <v>307</v>
      </c>
      <c r="E638" s="21" t="s">
        <v>37</v>
      </c>
      <c r="F638" s="179">
        <v>20</v>
      </c>
      <c r="G638" s="40">
        <v>22.42</v>
      </c>
      <c r="H638" s="40">
        <f t="shared" si="65"/>
        <v>28.93</v>
      </c>
      <c r="I638" s="20">
        <f>F638*H638</f>
        <v>578.6</v>
      </c>
      <c r="J638" s="124">
        <f t="shared" si="66"/>
        <v>9.7000000000000005E-4</v>
      </c>
      <c r="K638" s="133"/>
      <c r="L638" s="92"/>
      <c r="M638" s="136"/>
      <c r="N638" s="136"/>
      <c r="O638" s="136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  <c r="AN638" s="95"/>
      <c r="AO638" s="95"/>
      <c r="AP638" s="95"/>
      <c r="AQ638" s="95"/>
      <c r="AR638" s="95"/>
      <c r="AS638" s="95"/>
    </row>
    <row r="639" spans="1:45" s="32" customFormat="1" ht="38.25" x14ac:dyDescent="0.2">
      <c r="A639" s="30"/>
      <c r="B639" s="22">
        <v>92990</v>
      </c>
      <c r="C639" s="218" t="s">
        <v>967</v>
      </c>
      <c r="D639" s="13" t="s">
        <v>308</v>
      </c>
      <c r="E639" s="21" t="s">
        <v>37</v>
      </c>
      <c r="F639" s="179">
        <v>80</v>
      </c>
      <c r="G639" s="40">
        <v>43.09</v>
      </c>
      <c r="H639" s="40">
        <f t="shared" si="65"/>
        <v>55.61</v>
      </c>
      <c r="I639" s="20">
        <f>F639*H639</f>
        <v>4448.8</v>
      </c>
      <c r="J639" s="124">
        <f t="shared" si="66"/>
        <v>7.4400000000000004E-3</v>
      </c>
      <c r="K639" s="133"/>
      <c r="L639" s="92"/>
      <c r="M639" s="136"/>
      <c r="N639" s="136"/>
      <c r="O639" s="136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  <c r="AN639" s="95"/>
      <c r="AO639" s="95"/>
      <c r="AP639" s="95"/>
      <c r="AQ639" s="95"/>
      <c r="AR639" s="95"/>
      <c r="AS639" s="95"/>
    </row>
    <row r="640" spans="1:45" s="32" customFormat="1" x14ac:dyDescent="0.2">
      <c r="A640" s="30"/>
      <c r="B640" s="22"/>
      <c r="C640" s="231"/>
      <c r="D640" s="325" t="s">
        <v>991</v>
      </c>
      <c r="E640" s="325"/>
      <c r="F640" s="325"/>
      <c r="G640" s="325"/>
      <c r="H640" s="326"/>
      <c r="I640" s="110">
        <f>SUM(I633:I639)</f>
        <v>16968.650000000001</v>
      </c>
      <c r="J640" s="124"/>
      <c r="K640" s="133"/>
      <c r="L640" s="92"/>
      <c r="M640" s="136"/>
      <c r="N640" s="136"/>
      <c r="O640" s="136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  <c r="AN640" s="95"/>
      <c r="AO640" s="95"/>
      <c r="AP640" s="95"/>
      <c r="AQ640" s="95"/>
      <c r="AR640" s="95"/>
      <c r="AS640" s="95"/>
    </row>
    <row r="641" spans="1:45" s="32" customFormat="1" x14ac:dyDescent="0.2">
      <c r="A641" s="30"/>
      <c r="B641" s="22"/>
      <c r="C641" s="226" t="s">
        <v>968</v>
      </c>
      <c r="D641" s="84" t="s">
        <v>309</v>
      </c>
      <c r="E641" s="38"/>
      <c r="F641" s="179"/>
      <c r="G641" s="40"/>
      <c r="H641" s="40"/>
      <c r="I641" s="20"/>
      <c r="J641" s="124"/>
      <c r="K641" s="133"/>
      <c r="L641" s="92"/>
      <c r="M641" s="136"/>
      <c r="N641" s="136"/>
      <c r="O641" s="136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  <c r="AN641" s="95"/>
      <c r="AO641" s="95"/>
      <c r="AP641" s="95"/>
      <c r="AQ641" s="95"/>
      <c r="AR641" s="95"/>
      <c r="AS641" s="95"/>
    </row>
    <row r="642" spans="1:45" s="32" customFormat="1" ht="25.5" x14ac:dyDescent="0.2">
      <c r="A642" s="30"/>
      <c r="B642" s="22">
        <v>93661</v>
      </c>
      <c r="C642" s="218" t="s">
        <v>601</v>
      </c>
      <c r="D642" s="13" t="s">
        <v>313</v>
      </c>
      <c r="E642" s="21" t="s">
        <v>35</v>
      </c>
      <c r="F642" s="59">
        <v>5</v>
      </c>
      <c r="G642" s="40">
        <v>35.5</v>
      </c>
      <c r="H642" s="40">
        <f t="shared" ref="H642:H651" si="67">TRUNC((G642*(1+$I$6)),2)</f>
        <v>45.81</v>
      </c>
      <c r="I642" s="20">
        <f>F642*H642</f>
        <v>229.05</v>
      </c>
      <c r="J642" s="124">
        <f t="shared" ref="J642:J651" si="68">I642/$I$838</f>
        <v>3.8000000000000002E-4</v>
      </c>
      <c r="K642" s="133"/>
      <c r="L642" s="92"/>
      <c r="M642" s="136"/>
      <c r="N642" s="136"/>
      <c r="O642" s="136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  <c r="AN642" s="95"/>
      <c r="AO642" s="95"/>
      <c r="AP642" s="95"/>
      <c r="AQ642" s="95"/>
      <c r="AR642" s="95"/>
      <c r="AS642" s="95"/>
    </row>
    <row r="643" spans="1:45" s="32" customFormat="1" ht="25.5" x14ac:dyDescent="0.2">
      <c r="A643" s="30"/>
      <c r="B643" s="22">
        <v>93662</v>
      </c>
      <c r="C643" s="218" t="s">
        <v>571</v>
      </c>
      <c r="D643" s="13" t="s">
        <v>314</v>
      </c>
      <c r="E643" s="21" t="s">
        <v>35</v>
      </c>
      <c r="F643" s="59">
        <v>4</v>
      </c>
      <c r="G643" s="40">
        <v>36.86</v>
      </c>
      <c r="H643" s="40">
        <f t="shared" si="67"/>
        <v>47.57</v>
      </c>
      <c r="I643" s="20">
        <f>F643*H643</f>
        <v>190.28</v>
      </c>
      <c r="J643" s="124">
        <f t="shared" si="68"/>
        <v>3.2000000000000003E-4</v>
      </c>
      <c r="K643" s="133"/>
      <c r="L643" s="92"/>
      <c r="M643" s="136"/>
      <c r="N643" s="136"/>
      <c r="O643" s="136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  <c r="AN643" s="95"/>
      <c r="AO643" s="95"/>
      <c r="AP643" s="95"/>
      <c r="AQ643" s="95"/>
      <c r="AR643" s="95"/>
      <c r="AS643" s="95"/>
    </row>
    <row r="644" spans="1:45" s="32" customFormat="1" ht="25.5" x14ac:dyDescent="0.2">
      <c r="A644" s="30"/>
      <c r="B644" s="22">
        <v>93663</v>
      </c>
      <c r="C644" s="218" t="s">
        <v>600</v>
      </c>
      <c r="D644" s="13" t="s">
        <v>315</v>
      </c>
      <c r="E644" s="21" t="s">
        <v>35</v>
      </c>
      <c r="F644" s="59">
        <v>2</v>
      </c>
      <c r="G644" s="40">
        <v>36.86</v>
      </c>
      <c r="H644" s="40">
        <f t="shared" si="67"/>
        <v>47.57</v>
      </c>
      <c r="I644" s="20">
        <f>F644*H644</f>
        <v>95.14</v>
      </c>
      <c r="J644" s="124">
        <f t="shared" si="68"/>
        <v>1.6000000000000001E-4</v>
      </c>
      <c r="K644" s="133"/>
      <c r="L644" s="92"/>
      <c r="M644" s="136"/>
      <c r="N644" s="136"/>
      <c r="O644" s="136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</row>
    <row r="645" spans="1:45" s="32" customFormat="1" ht="25.5" x14ac:dyDescent="0.2">
      <c r="A645" s="30"/>
      <c r="B645" s="22">
        <v>93664</v>
      </c>
      <c r="C645" s="218" t="s">
        <v>969</v>
      </c>
      <c r="D645" s="13" t="s">
        <v>316</v>
      </c>
      <c r="E645" s="21" t="s">
        <v>35</v>
      </c>
      <c r="F645" s="59">
        <v>3</v>
      </c>
      <c r="G645" s="40">
        <v>38.549999999999997</v>
      </c>
      <c r="H645" s="40">
        <f t="shared" si="67"/>
        <v>49.75</v>
      </c>
      <c r="I645" s="20">
        <f>F645*H645</f>
        <v>149.25</v>
      </c>
      <c r="J645" s="124">
        <f t="shared" si="68"/>
        <v>2.5000000000000001E-4</v>
      </c>
      <c r="K645" s="133"/>
      <c r="L645" s="92"/>
      <c r="M645" s="136"/>
      <c r="N645" s="136"/>
      <c r="O645" s="136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</row>
    <row r="646" spans="1:45" s="32" customFormat="1" ht="25.5" x14ac:dyDescent="0.2">
      <c r="A646" s="30"/>
      <c r="B646" s="22">
        <v>93653</v>
      </c>
      <c r="C646" s="218" t="s">
        <v>970</v>
      </c>
      <c r="D646" s="13" t="s">
        <v>317</v>
      </c>
      <c r="E646" s="21" t="s">
        <v>35</v>
      </c>
      <c r="F646" s="59">
        <v>9</v>
      </c>
      <c r="G646" s="40">
        <v>7.03</v>
      </c>
      <c r="H646" s="40">
        <f t="shared" si="67"/>
        <v>9.07</v>
      </c>
      <c r="I646" s="20">
        <f>F646*H646</f>
        <v>81.63</v>
      </c>
      <c r="J646" s="124">
        <f t="shared" si="68"/>
        <v>1.3999999999999999E-4</v>
      </c>
      <c r="K646" s="133"/>
      <c r="L646" s="92"/>
      <c r="M646" s="136"/>
      <c r="N646" s="136"/>
      <c r="O646" s="136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</row>
    <row r="647" spans="1:45" s="32" customFormat="1" ht="25.5" x14ac:dyDescent="0.2">
      <c r="A647" s="30"/>
      <c r="B647" s="22">
        <v>93654</v>
      </c>
      <c r="C647" s="218" t="s">
        <v>971</v>
      </c>
      <c r="D647" s="13" t="s">
        <v>318</v>
      </c>
      <c r="E647" s="21" t="s">
        <v>35</v>
      </c>
      <c r="F647" s="59">
        <v>7</v>
      </c>
      <c r="G647" s="40">
        <v>7.39</v>
      </c>
      <c r="H647" s="40">
        <f t="shared" si="67"/>
        <v>9.5299999999999994</v>
      </c>
      <c r="I647" s="20">
        <f>F647*H647</f>
        <v>66.709999999999994</v>
      </c>
      <c r="J647" s="124">
        <f t="shared" si="68"/>
        <v>1.1E-4</v>
      </c>
      <c r="K647" s="133"/>
      <c r="L647" s="92"/>
      <c r="M647" s="136"/>
      <c r="N647" s="136"/>
      <c r="O647" s="136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</row>
    <row r="648" spans="1:45" s="32" customFormat="1" ht="25.5" x14ac:dyDescent="0.2">
      <c r="A648" s="30"/>
      <c r="B648" s="22">
        <v>93655</v>
      </c>
      <c r="C648" s="218" t="s">
        <v>972</v>
      </c>
      <c r="D648" s="13" t="s">
        <v>319</v>
      </c>
      <c r="E648" s="21" t="s">
        <v>35</v>
      </c>
      <c r="F648" s="59">
        <v>4</v>
      </c>
      <c r="G648" s="40">
        <v>8.07</v>
      </c>
      <c r="H648" s="40">
        <f t="shared" si="67"/>
        <v>10.41</v>
      </c>
      <c r="I648" s="20">
        <f>F648*H648</f>
        <v>41.64</v>
      </c>
      <c r="J648" s="124">
        <f t="shared" si="68"/>
        <v>6.9999999999999994E-5</v>
      </c>
      <c r="K648" s="133"/>
      <c r="L648" s="92"/>
      <c r="M648" s="136"/>
      <c r="N648" s="136"/>
      <c r="O648" s="136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</row>
    <row r="649" spans="1:45" s="32" customFormat="1" ht="25.5" x14ac:dyDescent="0.2">
      <c r="A649" s="30"/>
      <c r="B649" s="105" t="s">
        <v>293</v>
      </c>
      <c r="C649" s="218" t="s">
        <v>602</v>
      </c>
      <c r="D649" s="13" t="s">
        <v>310</v>
      </c>
      <c r="E649" s="21" t="s">
        <v>35</v>
      </c>
      <c r="F649" s="59">
        <v>2</v>
      </c>
      <c r="G649" s="40">
        <v>95.11</v>
      </c>
      <c r="H649" s="40">
        <f t="shared" si="67"/>
        <v>122.75</v>
      </c>
      <c r="I649" s="20">
        <f>F649*H649</f>
        <v>245.5</v>
      </c>
      <c r="J649" s="124">
        <f t="shared" si="68"/>
        <v>4.0999999999999999E-4</v>
      </c>
      <c r="K649" s="133"/>
      <c r="L649" s="92"/>
      <c r="M649" s="136"/>
      <c r="N649" s="136"/>
      <c r="O649" s="136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</row>
    <row r="650" spans="1:45" s="32" customFormat="1" ht="25.5" x14ac:dyDescent="0.2">
      <c r="A650" s="30"/>
      <c r="B650" s="105" t="s">
        <v>1223</v>
      </c>
      <c r="C650" s="218" t="s">
        <v>973</v>
      </c>
      <c r="D650" s="13" t="s">
        <v>311</v>
      </c>
      <c r="E650" s="21" t="s">
        <v>35</v>
      </c>
      <c r="F650" s="59">
        <v>1</v>
      </c>
      <c r="G650" s="40">
        <v>258.7</v>
      </c>
      <c r="H650" s="40">
        <f t="shared" si="67"/>
        <v>333.9</v>
      </c>
      <c r="I650" s="20">
        <f>F650*H650</f>
        <v>333.9</v>
      </c>
      <c r="J650" s="124">
        <f t="shared" si="68"/>
        <v>5.5999999999999995E-4</v>
      </c>
      <c r="K650" s="133"/>
      <c r="L650" s="92"/>
      <c r="M650" s="136"/>
      <c r="N650" s="136"/>
      <c r="O650" s="136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</row>
    <row r="651" spans="1:45" s="32" customFormat="1" x14ac:dyDescent="0.2">
      <c r="A651" s="30"/>
      <c r="B651" s="105" t="s">
        <v>293</v>
      </c>
      <c r="C651" s="218" t="s">
        <v>974</v>
      </c>
      <c r="D651" s="13" t="s">
        <v>312</v>
      </c>
      <c r="E651" s="21" t="s">
        <v>35</v>
      </c>
      <c r="F651" s="59">
        <v>4</v>
      </c>
      <c r="G651" s="40">
        <v>181.57</v>
      </c>
      <c r="H651" s="40">
        <f t="shared" si="67"/>
        <v>234.35</v>
      </c>
      <c r="I651" s="20">
        <f>F651*H651</f>
        <v>937.4</v>
      </c>
      <c r="J651" s="124">
        <f t="shared" si="68"/>
        <v>1.57E-3</v>
      </c>
      <c r="K651" s="133"/>
      <c r="L651" s="92"/>
      <c r="M651" s="136"/>
      <c r="N651" s="136"/>
      <c r="O651" s="136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</row>
    <row r="652" spans="1:45" s="32" customFormat="1" x14ac:dyDescent="0.2">
      <c r="A652" s="30"/>
      <c r="B652" s="22"/>
      <c r="C652" s="231"/>
      <c r="D652" s="325" t="s">
        <v>992</v>
      </c>
      <c r="E652" s="325"/>
      <c r="F652" s="325"/>
      <c r="G652" s="325"/>
      <c r="H652" s="326"/>
      <c r="I652" s="110">
        <f>SUM(I642:I651)</f>
        <v>2370.5</v>
      </c>
      <c r="J652" s="124"/>
      <c r="K652" s="133"/>
      <c r="L652" s="92"/>
      <c r="M652" s="136"/>
      <c r="N652" s="136"/>
      <c r="O652" s="136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  <c r="AN652" s="95"/>
      <c r="AO652" s="95"/>
      <c r="AP652" s="95"/>
      <c r="AQ652" s="95"/>
      <c r="AR652" s="95"/>
      <c r="AS652" s="95"/>
    </row>
    <row r="653" spans="1:45" s="32" customFormat="1" x14ac:dyDescent="0.2">
      <c r="A653" s="30"/>
      <c r="B653" s="22"/>
      <c r="C653" s="226" t="s">
        <v>975</v>
      </c>
      <c r="D653" s="84" t="s">
        <v>320</v>
      </c>
      <c r="E653" s="38"/>
      <c r="F653" s="179"/>
      <c r="G653" s="40"/>
      <c r="H653" s="40"/>
      <c r="I653" s="20"/>
      <c r="J653" s="124"/>
      <c r="K653" s="133"/>
      <c r="L653" s="92"/>
      <c r="M653" s="136"/>
      <c r="N653" s="136"/>
      <c r="O653" s="136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  <c r="AN653" s="95"/>
      <c r="AO653" s="95"/>
      <c r="AP653" s="95"/>
      <c r="AQ653" s="95"/>
      <c r="AR653" s="95"/>
      <c r="AS653" s="95"/>
    </row>
    <row r="654" spans="1:45" s="32" customFormat="1" ht="25.5" x14ac:dyDescent="0.2">
      <c r="A654" s="30"/>
      <c r="B654" s="105" t="s">
        <v>293</v>
      </c>
      <c r="C654" s="218" t="s">
        <v>601</v>
      </c>
      <c r="D654" s="13" t="s">
        <v>321</v>
      </c>
      <c r="E654" s="21" t="s">
        <v>35</v>
      </c>
      <c r="F654" s="59">
        <v>58</v>
      </c>
      <c r="G654" s="40">
        <v>90.11</v>
      </c>
      <c r="H654" s="40">
        <f t="shared" ref="H654:H657" si="69">TRUNC((G654*(1+$I$6)),2)</f>
        <v>116.3</v>
      </c>
      <c r="I654" s="20">
        <f>F654*H654</f>
        <v>6745.4</v>
      </c>
      <c r="J654" s="124">
        <f>I654/$I$838</f>
        <v>1.128E-2</v>
      </c>
      <c r="K654" s="133"/>
      <c r="L654" s="92"/>
      <c r="M654" s="136"/>
      <c r="N654" s="136"/>
      <c r="O654" s="136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  <c r="AN654" s="95"/>
      <c r="AO654" s="95"/>
      <c r="AP654" s="95"/>
      <c r="AQ654" s="95"/>
      <c r="AR654" s="95"/>
      <c r="AS654" s="95"/>
    </row>
    <row r="655" spans="1:45" s="32" customFormat="1" ht="25.5" x14ac:dyDescent="0.2">
      <c r="A655" s="30"/>
      <c r="B655" s="105" t="s">
        <v>293</v>
      </c>
      <c r="C655" s="218" t="s">
        <v>571</v>
      </c>
      <c r="D655" s="13" t="s">
        <v>323</v>
      </c>
      <c r="E655" s="21" t="s">
        <v>35</v>
      </c>
      <c r="F655" s="59">
        <v>27</v>
      </c>
      <c r="G655" s="40">
        <v>142.97999999999999</v>
      </c>
      <c r="H655" s="40">
        <f t="shared" si="69"/>
        <v>184.54</v>
      </c>
      <c r="I655" s="20">
        <f>F655*H655</f>
        <v>4982.58</v>
      </c>
      <c r="J655" s="124">
        <f>I655/$I$838</f>
        <v>8.3300000000000006E-3</v>
      </c>
      <c r="K655" s="133"/>
      <c r="L655" s="92"/>
      <c r="M655" s="136"/>
      <c r="N655" s="136"/>
      <c r="O655" s="136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  <c r="AN655" s="95"/>
      <c r="AO655" s="95"/>
      <c r="AP655" s="95"/>
      <c r="AQ655" s="95"/>
      <c r="AR655" s="95"/>
      <c r="AS655" s="95"/>
    </row>
    <row r="656" spans="1:45" s="32" customFormat="1" ht="25.5" x14ac:dyDescent="0.2">
      <c r="A656" s="30"/>
      <c r="B656" s="105">
        <v>97599</v>
      </c>
      <c r="C656" s="218" t="s">
        <v>600</v>
      </c>
      <c r="D656" s="13" t="s">
        <v>322</v>
      </c>
      <c r="E656" s="21" t="s">
        <v>35</v>
      </c>
      <c r="F656" s="59">
        <v>10</v>
      </c>
      <c r="G656" s="40">
        <v>17.04</v>
      </c>
      <c r="H656" s="40">
        <f t="shared" si="69"/>
        <v>21.99</v>
      </c>
      <c r="I656" s="20">
        <f>F656*H656</f>
        <v>219.9</v>
      </c>
      <c r="J656" s="124">
        <f>I656/$I$838</f>
        <v>3.6999999999999999E-4</v>
      </c>
      <c r="K656" s="133"/>
      <c r="L656" s="92"/>
      <c r="M656" s="136"/>
      <c r="N656" s="136"/>
      <c r="O656" s="136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  <c r="AN656" s="95"/>
      <c r="AO656" s="95"/>
      <c r="AP656" s="95"/>
      <c r="AQ656" s="95"/>
      <c r="AR656" s="95"/>
      <c r="AS656" s="95"/>
    </row>
    <row r="657" spans="1:45" s="32" customFormat="1" ht="25.5" x14ac:dyDescent="0.2">
      <c r="A657" s="30"/>
      <c r="B657" s="22" t="s">
        <v>121</v>
      </c>
      <c r="C657" s="218" t="s">
        <v>969</v>
      </c>
      <c r="D657" s="13" t="s">
        <v>324</v>
      </c>
      <c r="E657" s="21" t="s">
        <v>35</v>
      </c>
      <c r="F657" s="59">
        <v>1</v>
      </c>
      <c r="G657" s="40">
        <v>129.9</v>
      </c>
      <c r="H657" s="40">
        <f t="shared" si="69"/>
        <v>167.66</v>
      </c>
      <c r="I657" s="20">
        <f>F657*H657</f>
        <v>167.66</v>
      </c>
      <c r="J657" s="124">
        <f>I657/$I$838</f>
        <v>2.7999999999999998E-4</v>
      </c>
      <c r="K657" s="133"/>
      <c r="L657" s="92"/>
      <c r="M657" s="136"/>
      <c r="N657" s="136"/>
      <c r="O657" s="136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  <c r="AN657" s="95"/>
      <c r="AO657" s="95"/>
      <c r="AP657" s="95"/>
      <c r="AQ657" s="95"/>
      <c r="AR657" s="95"/>
      <c r="AS657" s="95"/>
    </row>
    <row r="658" spans="1:45" s="32" customFormat="1" x14ac:dyDescent="0.2">
      <c r="A658" s="30"/>
      <c r="B658" s="22"/>
      <c r="C658" s="218"/>
      <c r="D658" s="325" t="s">
        <v>993</v>
      </c>
      <c r="E658" s="325"/>
      <c r="F658" s="325"/>
      <c r="G658" s="325"/>
      <c r="H658" s="326"/>
      <c r="I658" s="110">
        <f>SUM(I654:I657)</f>
        <v>12115.54</v>
      </c>
      <c r="J658" s="124"/>
      <c r="K658" s="133"/>
      <c r="L658" s="92"/>
      <c r="M658" s="136"/>
      <c r="N658" s="136"/>
      <c r="O658" s="136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  <c r="AN658" s="95"/>
      <c r="AO658" s="95"/>
      <c r="AP658" s="95"/>
      <c r="AQ658" s="95"/>
      <c r="AR658" s="95"/>
      <c r="AS658" s="95"/>
    </row>
    <row r="659" spans="1:45" s="32" customFormat="1" x14ac:dyDescent="0.2">
      <c r="A659" s="30"/>
      <c r="B659" s="22"/>
      <c r="C659" s="226" t="s">
        <v>976</v>
      </c>
      <c r="D659" s="84" t="s">
        <v>325</v>
      </c>
      <c r="E659" s="38"/>
      <c r="F659" s="179"/>
      <c r="G659" s="40"/>
      <c r="H659" s="40"/>
      <c r="I659" s="20"/>
      <c r="J659" s="124"/>
      <c r="K659" s="133"/>
      <c r="L659" s="92"/>
      <c r="M659" s="136"/>
      <c r="N659" s="136"/>
      <c r="O659" s="136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  <c r="AN659" s="95"/>
      <c r="AO659" s="95"/>
      <c r="AP659" s="95"/>
      <c r="AQ659" s="95"/>
      <c r="AR659" s="95"/>
      <c r="AS659" s="95"/>
    </row>
    <row r="660" spans="1:45" s="32" customFormat="1" ht="25.5" x14ac:dyDescent="0.2">
      <c r="A660" s="30"/>
      <c r="B660" s="22">
        <v>91940</v>
      </c>
      <c r="C660" s="218" t="s">
        <v>977</v>
      </c>
      <c r="D660" s="13" t="s">
        <v>296</v>
      </c>
      <c r="E660" s="21" t="s">
        <v>35</v>
      </c>
      <c r="F660" s="59">
        <v>154</v>
      </c>
      <c r="G660" s="40">
        <v>8.68</v>
      </c>
      <c r="H660" s="40">
        <f t="shared" ref="H660:H674" si="70">TRUNC((G660*(1+$I$6)),2)</f>
        <v>11.2</v>
      </c>
      <c r="I660" s="20">
        <f>F660*H660</f>
        <v>1724.8</v>
      </c>
      <c r="J660" s="124">
        <f t="shared" ref="J660:J674" si="71">I660/$I$838</f>
        <v>2.8800000000000002E-3</v>
      </c>
      <c r="K660" s="133"/>
      <c r="L660" s="92"/>
      <c r="M660" s="136"/>
      <c r="N660" s="136"/>
      <c r="O660" s="136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  <c r="AN660" s="95"/>
      <c r="AO660" s="95"/>
      <c r="AP660" s="95"/>
      <c r="AQ660" s="95"/>
      <c r="AR660" s="95"/>
      <c r="AS660" s="95"/>
    </row>
    <row r="661" spans="1:45" s="32" customFormat="1" ht="25.5" x14ac:dyDescent="0.2">
      <c r="A661" s="30"/>
      <c r="B661" s="22">
        <v>91937</v>
      </c>
      <c r="C661" s="218" t="s">
        <v>978</v>
      </c>
      <c r="D661" s="13" t="s">
        <v>328</v>
      </c>
      <c r="E661" s="21" t="s">
        <v>35</v>
      </c>
      <c r="F661" s="59">
        <v>58</v>
      </c>
      <c r="G661" s="40">
        <v>6.3</v>
      </c>
      <c r="H661" s="40">
        <f t="shared" si="70"/>
        <v>8.1300000000000008</v>
      </c>
      <c r="I661" s="20">
        <f>F661*H661</f>
        <v>471.54</v>
      </c>
      <c r="J661" s="124">
        <f t="shared" si="71"/>
        <v>7.9000000000000001E-4</v>
      </c>
      <c r="K661" s="133"/>
      <c r="L661" s="92"/>
      <c r="M661" s="136"/>
      <c r="N661" s="136"/>
      <c r="O661" s="136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  <c r="AN661" s="95"/>
      <c r="AO661" s="95"/>
      <c r="AP661" s="95"/>
      <c r="AQ661" s="95"/>
      <c r="AR661" s="95"/>
      <c r="AS661" s="95"/>
    </row>
    <row r="662" spans="1:45" s="32" customFormat="1" ht="25.5" x14ac:dyDescent="0.2">
      <c r="A662" s="30"/>
      <c r="B662" s="22">
        <v>91955</v>
      </c>
      <c r="C662" s="218" t="s">
        <v>979</v>
      </c>
      <c r="D662" s="13" t="s">
        <v>329</v>
      </c>
      <c r="E662" s="21" t="s">
        <v>35</v>
      </c>
      <c r="F662" s="59">
        <v>6</v>
      </c>
      <c r="G662" s="40">
        <v>19.079999999999998</v>
      </c>
      <c r="H662" s="40">
        <f t="shared" si="70"/>
        <v>24.62</v>
      </c>
      <c r="I662" s="20">
        <f>F662*H662</f>
        <v>147.72</v>
      </c>
      <c r="J662" s="124">
        <f t="shared" si="71"/>
        <v>2.5000000000000001E-4</v>
      </c>
      <c r="K662" s="133"/>
      <c r="L662" s="92"/>
      <c r="M662" s="136"/>
      <c r="N662" s="136"/>
      <c r="O662" s="136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  <c r="AN662" s="95"/>
      <c r="AO662" s="95"/>
      <c r="AP662" s="95"/>
      <c r="AQ662" s="95"/>
      <c r="AR662" s="95"/>
      <c r="AS662" s="95"/>
    </row>
    <row r="663" spans="1:45" s="32" customFormat="1" ht="38.25" x14ac:dyDescent="0.2">
      <c r="A663" s="30"/>
      <c r="B663" s="22">
        <v>91961</v>
      </c>
      <c r="C663" s="218" t="s">
        <v>980</v>
      </c>
      <c r="D663" s="13" t="s">
        <v>330</v>
      </c>
      <c r="E663" s="21" t="s">
        <v>35</v>
      </c>
      <c r="F663" s="59">
        <v>3</v>
      </c>
      <c r="G663" s="40">
        <v>31.65</v>
      </c>
      <c r="H663" s="40">
        <f t="shared" si="70"/>
        <v>40.85</v>
      </c>
      <c r="I663" s="20">
        <f>F663*H663</f>
        <v>122.55</v>
      </c>
      <c r="J663" s="124">
        <f t="shared" si="71"/>
        <v>2.0000000000000001E-4</v>
      </c>
      <c r="K663" s="133"/>
      <c r="L663" s="92"/>
      <c r="M663" s="136"/>
      <c r="N663" s="136"/>
      <c r="O663" s="136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  <c r="AN663" s="95"/>
      <c r="AO663" s="95"/>
      <c r="AP663" s="95"/>
      <c r="AQ663" s="95"/>
      <c r="AR663" s="95"/>
      <c r="AS663" s="95"/>
    </row>
    <row r="664" spans="1:45" s="32" customFormat="1" ht="38.25" x14ac:dyDescent="0.2">
      <c r="A664" s="30"/>
      <c r="B664" s="22">
        <v>91969</v>
      </c>
      <c r="C664" s="218" t="s">
        <v>981</v>
      </c>
      <c r="D664" s="13" t="s">
        <v>331</v>
      </c>
      <c r="E664" s="21" t="s">
        <v>35</v>
      </c>
      <c r="F664" s="59">
        <v>2</v>
      </c>
      <c r="G664" s="40">
        <v>44.21</v>
      </c>
      <c r="H664" s="40">
        <f t="shared" si="70"/>
        <v>57.06</v>
      </c>
      <c r="I664" s="20">
        <f>F664*H664</f>
        <v>114.12</v>
      </c>
      <c r="J664" s="124">
        <f t="shared" si="71"/>
        <v>1.9000000000000001E-4</v>
      </c>
      <c r="K664" s="133"/>
      <c r="L664" s="92"/>
      <c r="M664" s="136"/>
      <c r="N664" s="136"/>
      <c r="O664" s="136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  <c r="AN664" s="95"/>
      <c r="AO664" s="95"/>
      <c r="AP664" s="95"/>
      <c r="AQ664" s="95"/>
      <c r="AR664" s="95"/>
      <c r="AS664" s="95"/>
    </row>
    <row r="665" spans="1:45" s="32" customFormat="1" ht="38.25" x14ac:dyDescent="0.2">
      <c r="A665" s="30"/>
      <c r="B665" s="22">
        <v>91957</v>
      </c>
      <c r="C665" s="218" t="s">
        <v>982</v>
      </c>
      <c r="D665" s="13" t="s">
        <v>332</v>
      </c>
      <c r="E665" s="21" t="s">
        <v>35</v>
      </c>
      <c r="F665" s="59">
        <v>1</v>
      </c>
      <c r="G665" s="40">
        <v>27.98</v>
      </c>
      <c r="H665" s="40">
        <f t="shared" si="70"/>
        <v>36.11</v>
      </c>
      <c r="I665" s="20">
        <f>F665*H665</f>
        <v>36.11</v>
      </c>
      <c r="J665" s="124">
        <f t="shared" si="71"/>
        <v>6.0000000000000002E-5</v>
      </c>
      <c r="K665" s="133"/>
      <c r="L665" s="92"/>
      <c r="M665" s="136"/>
      <c r="N665" s="136"/>
      <c r="O665" s="136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  <c r="AN665" s="95"/>
      <c r="AO665" s="95"/>
      <c r="AP665" s="95"/>
      <c r="AQ665" s="95"/>
      <c r="AR665" s="95"/>
      <c r="AS665" s="95"/>
    </row>
    <row r="666" spans="1:45" s="32" customFormat="1" ht="25.5" x14ac:dyDescent="0.2">
      <c r="A666" s="30"/>
      <c r="B666" s="22">
        <v>91953</v>
      </c>
      <c r="C666" s="218" t="s">
        <v>983</v>
      </c>
      <c r="D666" s="13" t="s">
        <v>333</v>
      </c>
      <c r="E666" s="21" t="s">
        <v>35</v>
      </c>
      <c r="F666" s="59">
        <v>7</v>
      </c>
      <c r="G666" s="40">
        <v>15.41</v>
      </c>
      <c r="H666" s="40">
        <f t="shared" si="70"/>
        <v>19.88</v>
      </c>
      <c r="I666" s="20">
        <f>F666*H666</f>
        <v>139.16</v>
      </c>
      <c r="J666" s="124">
        <f t="shared" si="71"/>
        <v>2.3000000000000001E-4</v>
      </c>
      <c r="K666" s="133"/>
      <c r="L666" s="92"/>
      <c r="M666" s="136"/>
      <c r="N666" s="136"/>
      <c r="O666" s="136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  <c r="AN666" s="95"/>
      <c r="AO666" s="95"/>
      <c r="AP666" s="95"/>
      <c r="AQ666" s="95"/>
      <c r="AR666" s="95"/>
      <c r="AS666" s="95"/>
    </row>
    <row r="667" spans="1:45" s="32" customFormat="1" ht="38.25" x14ac:dyDescent="0.2">
      <c r="A667" s="30"/>
      <c r="B667" s="22">
        <v>91959</v>
      </c>
      <c r="C667" s="218" t="s">
        <v>984</v>
      </c>
      <c r="D667" s="13" t="s">
        <v>334</v>
      </c>
      <c r="E667" s="21" t="s">
        <v>35</v>
      </c>
      <c r="F667" s="59">
        <v>4</v>
      </c>
      <c r="G667" s="40">
        <v>24.34</v>
      </c>
      <c r="H667" s="40">
        <f t="shared" si="70"/>
        <v>31.41</v>
      </c>
      <c r="I667" s="20">
        <f>F667*H667</f>
        <v>125.64</v>
      </c>
      <c r="J667" s="124">
        <f t="shared" si="71"/>
        <v>2.1000000000000001E-4</v>
      </c>
      <c r="K667" s="133"/>
      <c r="L667" s="92"/>
      <c r="M667" s="136"/>
      <c r="N667" s="136"/>
      <c r="O667" s="136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  <c r="AN667" s="95"/>
      <c r="AO667" s="95"/>
      <c r="AP667" s="95"/>
      <c r="AQ667" s="95"/>
      <c r="AR667" s="95"/>
      <c r="AS667" s="95"/>
    </row>
    <row r="668" spans="1:45" s="32" customFormat="1" ht="38.25" x14ac:dyDescent="0.2">
      <c r="A668" s="30"/>
      <c r="B668" s="22">
        <v>91967</v>
      </c>
      <c r="C668" s="218" t="s">
        <v>985</v>
      </c>
      <c r="D668" s="13" t="s">
        <v>335</v>
      </c>
      <c r="E668" s="21" t="s">
        <v>35</v>
      </c>
      <c r="F668" s="59">
        <v>1</v>
      </c>
      <c r="G668" s="40">
        <v>33.28</v>
      </c>
      <c r="H668" s="40">
        <f t="shared" si="70"/>
        <v>42.95</v>
      </c>
      <c r="I668" s="20">
        <f>F668*H668</f>
        <v>42.95</v>
      </c>
      <c r="J668" s="124">
        <f t="shared" si="71"/>
        <v>6.9999999999999994E-5</v>
      </c>
      <c r="K668" s="133"/>
      <c r="L668" s="92"/>
      <c r="M668" s="136"/>
      <c r="N668" s="136"/>
      <c r="O668" s="136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  <c r="AN668" s="95"/>
      <c r="AO668" s="95"/>
      <c r="AP668" s="95"/>
      <c r="AQ668" s="95"/>
      <c r="AR668" s="95"/>
      <c r="AS668" s="95"/>
    </row>
    <row r="669" spans="1:45" s="32" customFormat="1" x14ac:dyDescent="0.2">
      <c r="A669" s="30"/>
      <c r="B669" s="22" t="s">
        <v>293</v>
      </c>
      <c r="C669" s="218" t="s">
        <v>986</v>
      </c>
      <c r="D669" s="13" t="s">
        <v>336</v>
      </c>
      <c r="E669" s="21" t="s">
        <v>35</v>
      </c>
      <c r="F669" s="59">
        <v>5</v>
      </c>
      <c r="G669" s="40">
        <v>7.74</v>
      </c>
      <c r="H669" s="40">
        <f t="shared" si="70"/>
        <v>9.99</v>
      </c>
      <c r="I669" s="20">
        <f>F669*H669</f>
        <v>49.95</v>
      </c>
      <c r="J669" s="124">
        <f t="shared" si="71"/>
        <v>8.0000000000000007E-5</v>
      </c>
      <c r="K669" s="133"/>
      <c r="L669" s="92"/>
      <c r="M669" s="136"/>
      <c r="N669" s="136"/>
      <c r="O669" s="136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  <c r="AN669" s="95"/>
      <c r="AO669" s="95"/>
      <c r="AP669" s="95"/>
      <c r="AQ669" s="95"/>
      <c r="AR669" s="95"/>
      <c r="AS669" s="95"/>
    </row>
    <row r="670" spans="1:45" s="32" customFormat="1" ht="38.25" x14ac:dyDescent="0.2">
      <c r="A670" s="30"/>
      <c r="B670" s="22">
        <v>92005</v>
      </c>
      <c r="C670" s="218" t="s">
        <v>987</v>
      </c>
      <c r="D670" s="13" t="s">
        <v>369</v>
      </c>
      <c r="E670" s="21" t="s">
        <v>35</v>
      </c>
      <c r="F670" s="59">
        <v>27</v>
      </c>
      <c r="G670" s="40">
        <v>32.92</v>
      </c>
      <c r="H670" s="40">
        <f t="shared" si="70"/>
        <v>42.48</v>
      </c>
      <c r="I670" s="20">
        <f>F670*H670</f>
        <v>1146.96</v>
      </c>
      <c r="J670" s="124">
        <f t="shared" si="71"/>
        <v>1.92E-3</v>
      </c>
      <c r="K670" s="133"/>
      <c r="L670" s="92"/>
      <c r="M670" s="136"/>
      <c r="N670" s="136"/>
      <c r="O670" s="136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  <c r="AN670" s="95"/>
      <c r="AO670" s="95"/>
      <c r="AP670" s="95"/>
      <c r="AQ670" s="95"/>
      <c r="AR670" s="95"/>
      <c r="AS670" s="95"/>
    </row>
    <row r="671" spans="1:45" s="32" customFormat="1" ht="38.25" x14ac:dyDescent="0.2">
      <c r="A671" s="30"/>
      <c r="B671" s="22">
        <v>92008</v>
      </c>
      <c r="C671" s="218" t="s">
        <v>988</v>
      </c>
      <c r="D671" s="13" t="s">
        <v>337</v>
      </c>
      <c r="E671" s="21" t="s">
        <v>35</v>
      </c>
      <c r="F671" s="59">
        <v>65</v>
      </c>
      <c r="G671" s="40">
        <v>26.04</v>
      </c>
      <c r="H671" s="40">
        <f t="shared" si="70"/>
        <v>33.6</v>
      </c>
      <c r="I671" s="20">
        <f>F671*H671</f>
        <v>2184</v>
      </c>
      <c r="J671" s="124">
        <f t="shared" si="71"/>
        <v>3.65E-3</v>
      </c>
      <c r="K671" s="133"/>
      <c r="L671" s="92"/>
      <c r="M671" s="136"/>
      <c r="N671" s="136"/>
      <c r="O671" s="136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  <c r="AN671" s="95"/>
      <c r="AO671" s="95"/>
      <c r="AP671" s="95"/>
      <c r="AQ671" s="95"/>
      <c r="AR671" s="95"/>
      <c r="AS671" s="95"/>
    </row>
    <row r="672" spans="1:45" s="32" customFormat="1" ht="25.5" x14ac:dyDescent="0.2">
      <c r="A672" s="30"/>
      <c r="B672" s="22">
        <v>97595</v>
      </c>
      <c r="C672" s="218" t="s">
        <v>989</v>
      </c>
      <c r="D672" s="13" t="s">
        <v>338</v>
      </c>
      <c r="E672" s="21" t="s">
        <v>35</v>
      </c>
      <c r="F672" s="59">
        <v>8</v>
      </c>
      <c r="G672" s="40">
        <v>49.58</v>
      </c>
      <c r="H672" s="40">
        <f t="shared" si="70"/>
        <v>63.99</v>
      </c>
      <c r="I672" s="20">
        <f>F672*H672</f>
        <v>511.92</v>
      </c>
      <c r="J672" s="124">
        <f t="shared" si="71"/>
        <v>8.5999999999999998E-4</v>
      </c>
      <c r="K672" s="133"/>
      <c r="L672" s="92"/>
      <c r="M672" s="136"/>
      <c r="N672" s="136"/>
      <c r="O672" s="136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  <c r="AN672" s="95"/>
      <c r="AO672" s="95"/>
      <c r="AP672" s="95"/>
      <c r="AQ672" s="95"/>
      <c r="AR672" s="95"/>
      <c r="AS672" s="95"/>
    </row>
    <row r="673" spans="1:45" s="32" customFormat="1" ht="25.5" x14ac:dyDescent="0.2">
      <c r="A673" s="30"/>
      <c r="B673" s="22">
        <v>38111</v>
      </c>
      <c r="C673" s="218" t="s">
        <v>990</v>
      </c>
      <c r="D673" s="13" t="s">
        <v>1221</v>
      </c>
      <c r="E673" s="21" t="s">
        <v>35</v>
      </c>
      <c r="F673" s="59">
        <v>9</v>
      </c>
      <c r="G673" s="40">
        <v>19.649999999999999</v>
      </c>
      <c r="H673" s="40">
        <f t="shared" si="70"/>
        <v>25.36</v>
      </c>
      <c r="I673" s="20">
        <f>F673*H673</f>
        <v>228.24</v>
      </c>
      <c r="J673" s="124">
        <f t="shared" ref="J673" si="72">I673/$I$838</f>
        <v>3.8000000000000002E-4</v>
      </c>
      <c r="K673" s="133"/>
      <c r="L673" s="92"/>
      <c r="M673" s="136"/>
      <c r="N673" s="136"/>
      <c r="O673" s="136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  <c r="AN673" s="95"/>
      <c r="AO673" s="95"/>
      <c r="AP673" s="95"/>
      <c r="AQ673" s="95"/>
      <c r="AR673" s="95"/>
      <c r="AS673" s="95"/>
    </row>
    <row r="674" spans="1:45" s="32" customFormat="1" x14ac:dyDescent="0.2">
      <c r="A674" s="30"/>
      <c r="B674" s="22" t="s">
        <v>293</v>
      </c>
      <c r="C674" s="218" t="s">
        <v>1219</v>
      </c>
      <c r="D674" s="13" t="s">
        <v>1220</v>
      </c>
      <c r="E674" s="21" t="s">
        <v>35</v>
      </c>
      <c r="F674" s="59">
        <v>9</v>
      </c>
      <c r="G674" s="40">
        <v>88.83</v>
      </c>
      <c r="H674" s="40">
        <f t="shared" si="70"/>
        <v>114.65</v>
      </c>
      <c r="I674" s="20">
        <f>F674*H674</f>
        <v>1031.8499999999999</v>
      </c>
      <c r="J674" s="124">
        <f t="shared" si="71"/>
        <v>1.73E-3</v>
      </c>
      <c r="K674" s="133"/>
      <c r="L674" s="92"/>
      <c r="M674" s="136"/>
      <c r="N674" s="136"/>
      <c r="O674" s="136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  <c r="AN674" s="95"/>
      <c r="AO674" s="95"/>
      <c r="AP674" s="95"/>
      <c r="AQ674" s="95"/>
      <c r="AR674" s="95"/>
      <c r="AS674" s="95"/>
    </row>
    <row r="675" spans="1:45" s="32" customFormat="1" x14ac:dyDescent="0.2">
      <c r="A675" s="30"/>
      <c r="B675" s="22"/>
      <c r="C675" s="218"/>
      <c r="D675" s="325" t="s">
        <v>994</v>
      </c>
      <c r="E675" s="325"/>
      <c r="F675" s="325"/>
      <c r="G675" s="325"/>
      <c r="H675" s="326"/>
      <c r="I675" s="110">
        <f>SUM(I660:I674)</f>
        <v>8077.51</v>
      </c>
      <c r="J675" s="124"/>
      <c r="K675" s="133"/>
      <c r="L675" s="92"/>
      <c r="M675" s="136"/>
      <c r="N675" s="136"/>
      <c r="O675" s="136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  <c r="AN675" s="95"/>
      <c r="AO675" s="95"/>
      <c r="AP675" s="95"/>
      <c r="AQ675" s="95"/>
      <c r="AR675" s="95"/>
      <c r="AS675" s="95"/>
    </row>
    <row r="676" spans="1:45" s="32" customFormat="1" x14ac:dyDescent="0.2">
      <c r="A676" s="30"/>
      <c r="B676" s="22"/>
      <c r="C676" s="226" t="s">
        <v>996</v>
      </c>
      <c r="D676" s="84" t="s">
        <v>326</v>
      </c>
      <c r="E676" s="38"/>
      <c r="F676" s="179"/>
      <c r="G676" s="40"/>
      <c r="H676" s="40"/>
      <c r="I676" s="20"/>
      <c r="J676" s="124">
        <f>I676/$I$838</f>
        <v>0</v>
      </c>
      <c r="K676" s="133"/>
      <c r="L676" s="92"/>
      <c r="M676" s="136"/>
      <c r="N676" s="136"/>
      <c r="O676" s="136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  <c r="AN676" s="95"/>
      <c r="AO676" s="95"/>
      <c r="AP676" s="95"/>
      <c r="AQ676" s="95"/>
      <c r="AR676" s="95"/>
      <c r="AS676" s="95"/>
    </row>
    <row r="677" spans="1:45" s="32" customFormat="1" ht="38.25" x14ac:dyDescent="0.2">
      <c r="A677" s="30"/>
      <c r="B677" s="22">
        <v>91835</v>
      </c>
      <c r="C677" s="218" t="s">
        <v>997</v>
      </c>
      <c r="D677" s="13" t="s">
        <v>339</v>
      </c>
      <c r="E677" s="21" t="s">
        <v>37</v>
      </c>
      <c r="F677" s="59">
        <v>850</v>
      </c>
      <c r="G677" s="40">
        <v>4.95</v>
      </c>
      <c r="H677" s="40">
        <f t="shared" ref="H677:H678" si="73">TRUNC((G677*(1+$I$6)),2)</f>
        <v>6.38</v>
      </c>
      <c r="I677" s="20">
        <f>F677*H677</f>
        <v>5423</v>
      </c>
      <c r="J677" s="124">
        <f>I677/$I$838</f>
        <v>9.0699999999999999E-3</v>
      </c>
      <c r="K677" s="133"/>
      <c r="L677" s="92"/>
      <c r="M677" s="136"/>
      <c r="N677" s="136"/>
      <c r="O677" s="136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  <c r="AN677" s="95"/>
      <c r="AO677" s="95"/>
      <c r="AP677" s="95"/>
      <c r="AQ677" s="95"/>
      <c r="AR677" s="95"/>
      <c r="AS677" s="95"/>
    </row>
    <row r="678" spans="1:45" s="32" customFormat="1" ht="25.5" x14ac:dyDescent="0.2">
      <c r="A678" s="30"/>
      <c r="B678" s="22">
        <v>97668</v>
      </c>
      <c r="C678" s="218" t="s">
        <v>998</v>
      </c>
      <c r="D678" s="13" t="s">
        <v>340</v>
      </c>
      <c r="E678" s="21" t="s">
        <v>37</v>
      </c>
      <c r="F678" s="59">
        <v>40</v>
      </c>
      <c r="G678" s="40">
        <v>7.02</v>
      </c>
      <c r="H678" s="40">
        <f t="shared" si="73"/>
        <v>9.06</v>
      </c>
      <c r="I678" s="20">
        <f>F678*H678</f>
        <v>362.4</v>
      </c>
      <c r="J678" s="124">
        <f>I678/$I$838</f>
        <v>6.0999999999999997E-4</v>
      </c>
      <c r="K678" s="133"/>
      <c r="L678" s="92"/>
      <c r="M678" s="136"/>
      <c r="N678" s="136"/>
      <c r="O678" s="136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  <c r="AN678" s="95"/>
      <c r="AO678" s="95"/>
      <c r="AP678" s="95"/>
      <c r="AQ678" s="95"/>
      <c r="AR678" s="95"/>
      <c r="AS678" s="95"/>
    </row>
    <row r="679" spans="1:45" s="32" customFormat="1" x14ac:dyDescent="0.2">
      <c r="A679" s="30"/>
      <c r="B679" s="22"/>
      <c r="C679" s="218"/>
      <c r="D679" s="325" t="s">
        <v>995</v>
      </c>
      <c r="E679" s="325"/>
      <c r="F679" s="325"/>
      <c r="G679" s="325"/>
      <c r="H679" s="326"/>
      <c r="I679" s="110">
        <f>SUM(I677:I678)</f>
        <v>5785.4</v>
      </c>
      <c r="J679" s="124"/>
      <c r="K679" s="133"/>
      <c r="L679" s="92"/>
      <c r="M679" s="136"/>
      <c r="N679" s="136"/>
      <c r="O679" s="136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  <c r="AN679" s="95"/>
      <c r="AO679" s="95"/>
      <c r="AP679" s="95"/>
      <c r="AQ679" s="95"/>
      <c r="AR679" s="95"/>
      <c r="AS679" s="95"/>
    </row>
    <row r="680" spans="1:45" s="32" customFormat="1" x14ac:dyDescent="0.2">
      <c r="A680" s="30"/>
      <c r="B680" s="22"/>
      <c r="C680" s="226" t="s">
        <v>999</v>
      </c>
      <c r="D680" s="84" t="s">
        <v>327</v>
      </c>
      <c r="E680" s="38"/>
      <c r="F680" s="179"/>
      <c r="G680" s="40"/>
      <c r="H680" s="40"/>
      <c r="I680" s="20"/>
      <c r="J680" s="124"/>
      <c r="K680" s="133"/>
      <c r="L680" s="92"/>
      <c r="M680" s="136"/>
      <c r="N680" s="136"/>
      <c r="O680" s="136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  <c r="AN680" s="95"/>
      <c r="AO680" s="95"/>
      <c r="AP680" s="95"/>
      <c r="AQ680" s="95"/>
      <c r="AR680" s="95"/>
      <c r="AS680" s="95"/>
    </row>
    <row r="681" spans="1:45" s="32" customFormat="1" x14ac:dyDescent="0.2">
      <c r="A681" s="30"/>
      <c r="B681" s="22" t="s">
        <v>293</v>
      </c>
      <c r="C681" s="218" t="s">
        <v>1000</v>
      </c>
      <c r="D681" s="13" t="s">
        <v>341</v>
      </c>
      <c r="E681" s="21" t="s">
        <v>35</v>
      </c>
      <c r="F681" s="59">
        <v>2</v>
      </c>
      <c r="G681" s="40">
        <v>1789.56</v>
      </c>
      <c r="H681" s="40">
        <f t="shared" ref="H681:H682" si="74">TRUNC((G681*(1+$I$6)),2)</f>
        <v>2309.7800000000002</v>
      </c>
      <c r="I681" s="20">
        <f>F681*H681</f>
        <v>4619.5600000000004</v>
      </c>
      <c r="J681" s="124">
        <f>I681/$I$838</f>
        <v>7.7200000000000003E-3</v>
      </c>
      <c r="K681" s="133"/>
      <c r="L681" s="92"/>
      <c r="M681" s="136"/>
      <c r="N681" s="136"/>
      <c r="O681" s="136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  <c r="AN681" s="95"/>
      <c r="AO681" s="95"/>
      <c r="AP681" s="95"/>
      <c r="AQ681" s="95"/>
      <c r="AR681" s="95"/>
      <c r="AS681" s="95"/>
    </row>
    <row r="682" spans="1:45" s="32" customFormat="1" ht="25.5" x14ac:dyDescent="0.2">
      <c r="A682" s="30"/>
      <c r="B682" s="22" t="s">
        <v>293</v>
      </c>
      <c r="C682" s="218" t="s">
        <v>1001</v>
      </c>
      <c r="D682" s="13" t="s">
        <v>1222</v>
      </c>
      <c r="E682" s="21" t="s">
        <v>35</v>
      </c>
      <c r="F682" s="59">
        <v>1</v>
      </c>
      <c r="G682" s="40">
        <v>4470</v>
      </c>
      <c r="H682" s="40">
        <f t="shared" si="74"/>
        <v>5769.42</v>
      </c>
      <c r="I682" s="20">
        <f>F682*H682</f>
        <v>5769.42</v>
      </c>
      <c r="J682" s="124">
        <f>I682/$I$838</f>
        <v>9.6500000000000006E-3</v>
      </c>
      <c r="K682" s="133"/>
      <c r="L682" s="92"/>
      <c r="M682" s="136"/>
      <c r="N682" s="136"/>
      <c r="O682" s="136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  <c r="AN682" s="95"/>
      <c r="AO682" s="95"/>
      <c r="AP682" s="95"/>
      <c r="AQ682" s="95"/>
      <c r="AR682" s="95"/>
      <c r="AS682" s="95"/>
    </row>
    <row r="683" spans="1:45" s="32" customFormat="1" x14ac:dyDescent="0.2">
      <c r="A683" s="30"/>
      <c r="B683" s="22"/>
      <c r="C683" s="218"/>
      <c r="D683" s="325" t="s">
        <v>995</v>
      </c>
      <c r="E683" s="325"/>
      <c r="F683" s="325"/>
      <c r="G683" s="325"/>
      <c r="H683" s="326"/>
      <c r="I683" s="110">
        <f>SUM(I681:I682)</f>
        <v>10388.98</v>
      </c>
      <c r="J683" s="124">
        <f>I683/$I$838</f>
        <v>1.737E-2</v>
      </c>
      <c r="K683" s="133"/>
      <c r="L683" s="92"/>
      <c r="M683" s="136"/>
      <c r="N683" s="136"/>
      <c r="O683" s="136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  <c r="AN683" s="95"/>
      <c r="AO683" s="95"/>
      <c r="AP683" s="95"/>
      <c r="AQ683" s="95"/>
      <c r="AR683" s="95"/>
      <c r="AS683" s="95"/>
    </row>
    <row r="684" spans="1:45" s="32" customFormat="1" x14ac:dyDescent="0.2">
      <c r="A684" s="30"/>
      <c r="B684" s="22"/>
      <c r="C684" s="246"/>
      <c r="D684" s="104"/>
      <c r="E684" s="174"/>
      <c r="F684" s="174"/>
      <c r="G684" s="290"/>
      <c r="H684" s="206" t="s">
        <v>86</v>
      </c>
      <c r="I684" s="60">
        <f>SUM(I630,I640,I652,I658,I675,I679,I683)</f>
        <v>62733.38</v>
      </c>
      <c r="J684" s="123">
        <f>I684/$I$838</f>
        <v>0.10488</v>
      </c>
      <c r="K684" s="133"/>
      <c r="L684" s="92"/>
      <c r="M684" s="136"/>
      <c r="N684" s="136"/>
      <c r="O684" s="136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  <c r="AN684" s="95"/>
      <c r="AO684" s="95"/>
      <c r="AP684" s="95"/>
      <c r="AQ684" s="95"/>
      <c r="AR684" s="95"/>
      <c r="AS684" s="95"/>
    </row>
    <row r="685" spans="1:45" s="32" customFormat="1" ht="13.5" thickBot="1" x14ac:dyDescent="0.25">
      <c r="A685" s="30"/>
      <c r="B685" s="22"/>
      <c r="C685" s="78"/>
      <c r="D685" s="78"/>
      <c r="E685" s="78"/>
      <c r="F685" s="78"/>
      <c r="G685" s="78"/>
      <c r="H685" s="78"/>
      <c r="I685" s="106"/>
      <c r="J685" s="82"/>
      <c r="K685" s="133"/>
      <c r="L685" s="92"/>
      <c r="M685" s="136"/>
      <c r="N685" s="136"/>
      <c r="O685" s="136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  <c r="AN685" s="95"/>
      <c r="AO685" s="95"/>
      <c r="AP685" s="95"/>
      <c r="AQ685" s="95"/>
      <c r="AR685" s="95"/>
      <c r="AS685" s="95"/>
    </row>
    <row r="686" spans="1:45" s="71" customFormat="1" ht="12.75" customHeight="1" thickBot="1" x14ac:dyDescent="0.25">
      <c r="A686" s="30"/>
      <c r="B686" s="22"/>
      <c r="C686" s="221" t="s">
        <v>47</v>
      </c>
      <c r="D686" s="318" t="s">
        <v>99</v>
      </c>
      <c r="E686" s="319"/>
      <c r="F686" s="319"/>
      <c r="G686" s="319"/>
      <c r="H686" s="319"/>
      <c r="I686" s="320"/>
      <c r="J686" s="49"/>
      <c r="K686" s="135"/>
      <c r="L686" s="92"/>
      <c r="M686" s="136"/>
      <c r="N686" s="136"/>
      <c r="O686" s="136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2"/>
      <c r="AD686" s="142"/>
      <c r="AE686" s="142"/>
      <c r="AF686" s="142"/>
      <c r="AG686" s="142"/>
      <c r="AH686" s="142"/>
      <c r="AI686" s="142"/>
      <c r="AJ686" s="142"/>
      <c r="AK686" s="142"/>
      <c r="AL686" s="142"/>
      <c r="AM686" s="142"/>
      <c r="AN686" s="142"/>
      <c r="AO686" s="142"/>
      <c r="AP686" s="142"/>
      <c r="AQ686" s="142"/>
      <c r="AR686" s="142"/>
      <c r="AS686" s="142"/>
    </row>
    <row r="687" spans="1:45" s="71" customFormat="1" ht="25.5" x14ac:dyDescent="0.2">
      <c r="A687" s="30"/>
      <c r="B687" s="22">
        <v>88503</v>
      </c>
      <c r="C687" s="244" t="s">
        <v>1034</v>
      </c>
      <c r="D687" s="33" t="s">
        <v>82</v>
      </c>
      <c r="E687" s="14" t="s">
        <v>35</v>
      </c>
      <c r="F687" s="179">
        <v>1</v>
      </c>
      <c r="G687" s="40">
        <v>507.54</v>
      </c>
      <c r="H687" s="40">
        <f t="shared" ref="H687:H696" si="75">TRUNC((G687*(1+$I$6)),2)</f>
        <v>655.08000000000004</v>
      </c>
      <c r="I687" s="20">
        <f>F687*H687</f>
        <v>655.08000000000004</v>
      </c>
      <c r="J687" s="124">
        <f t="shared" ref="J687:J697" si="76">I687/$I$838</f>
        <v>1.1000000000000001E-3</v>
      </c>
      <c r="K687" s="135"/>
      <c r="L687" s="92"/>
      <c r="M687" s="136"/>
      <c r="N687" s="136"/>
      <c r="O687" s="136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2"/>
      <c r="AD687" s="142"/>
      <c r="AE687" s="142"/>
      <c r="AF687" s="142"/>
      <c r="AG687" s="142"/>
      <c r="AH687" s="142"/>
      <c r="AI687" s="142"/>
      <c r="AJ687" s="142"/>
      <c r="AK687" s="142"/>
      <c r="AL687" s="142"/>
      <c r="AM687" s="142"/>
      <c r="AN687" s="142"/>
      <c r="AO687" s="142"/>
      <c r="AP687" s="142"/>
      <c r="AQ687" s="142"/>
      <c r="AR687" s="142"/>
      <c r="AS687" s="142"/>
    </row>
    <row r="688" spans="1:45" s="71" customFormat="1" ht="38.25" x14ac:dyDescent="0.2">
      <c r="A688" s="30"/>
      <c r="B688" s="22">
        <v>20213</v>
      </c>
      <c r="C688" s="244" t="s">
        <v>1035</v>
      </c>
      <c r="D688" s="33" t="s">
        <v>1163</v>
      </c>
      <c r="E688" s="14" t="s">
        <v>35</v>
      </c>
      <c r="F688" s="179">
        <v>16</v>
      </c>
      <c r="G688" s="40">
        <v>14.96</v>
      </c>
      <c r="H688" s="40">
        <f t="shared" si="75"/>
        <v>19.3</v>
      </c>
      <c r="I688" s="20">
        <f>F688*H688</f>
        <v>308.8</v>
      </c>
      <c r="J688" s="124">
        <f t="shared" si="76"/>
        <v>5.1999999999999995E-4</v>
      </c>
      <c r="K688" s="135"/>
      <c r="L688" s="92"/>
      <c r="M688" s="136"/>
      <c r="N688" s="136"/>
      <c r="O688" s="136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2"/>
      <c r="AD688" s="142"/>
      <c r="AE688" s="142"/>
      <c r="AF688" s="142"/>
      <c r="AG688" s="142"/>
      <c r="AH688" s="142"/>
      <c r="AI688" s="142"/>
      <c r="AJ688" s="142"/>
      <c r="AK688" s="142"/>
      <c r="AL688" s="142"/>
      <c r="AM688" s="142"/>
      <c r="AN688" s="142"/>
      <c r="AO688" s="142"/>
      <c r="AP688" s="142"/>
      <c r="AQ688" s="142"/>
      <c r="AR688" s="142"/>
      <c r="AS688" s="142"/>
    </row>
    <row r="689" spans="1:45" s="71" customFormat="1" ht="38.25" x14ac:dyDescent="0.2">
      <c r="A689" s="30"/>
      <c r="B689" s="22">
        <v>3990</v>
      </c>
      <c r="C689" s="244" t="s">
        <v>1036</v>
      </c>
      <c r="D689" s="33" t="s">
        <v>96</v>
      </c>
      <c r="E689" s="14" t="s">
        <v>37</v>
      </c>
      <c r="F689" s="179">
        <v>12</v>
      </c>
      <c r="G689" s="40">
        <v>13.31</v>
      </c>
      <c r="H689" s="40">
        <f t="shared" si="75"/>
        <v>17.170000000000002</v>
      </c>
      <c r="I689" s="20">
        <f>F689*H689</f>
        <v>206.04</v>
      </c>
      <c r="J689" s="124">
        <f t="shared" si="76"/>
        <v>3.4000000000000002E-4</v>
      </c>
      <c r="K689" s="135"/>
      <c r="L689" s="92"/>
      <c r="M689" s="136"/>
      <c r="N689" s="136"/>
      <c r="O689" s="136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2"/>
      <c r="AD689" s="142"/>
      <c r="AE689" s="142"/>
      <c r="AF689" s="142"/>
      <c r="AG689" s="142"/>
      <c r="AH689" s="142"/>
      <c r="AI689" s="142"/>
      <c r="AJ689" s="142"/>
      <c r="AK689" s="142"/>
      <c r="AL689" s="142"/>
      <c r="AM689" s="142"/>
      <c r="AN689" s="142"/>
      <c r="AO689" s="142"/>
      <c r="AP689" s="142"/>
      <c r="AQ689" s="142"/>
      <c r="AR689" s="142"/>
      <c r="AS689" s="142"/>
    </row>
    <row r="690" spans="1:45" s="71" customFormat="1" ht="25.5" x14ac:dyDescent="0.2">
      <c r="A690" s="30"/>
      <c r="B690" s="22">
        <v>89352</v>
      </c>
      <c r="C690" s="244" t="s">
        <v>1037</v>
      </c>
      <c r="D690" s="33" t="s">
        <v>83</v>
      </c>
      <c r="E690" s="14" t="s">
        <v>35</v>
      </c>
      <c r="F690" s="179">
        <v>1</v>
      </c>
      <c r="G690" s="40">
        <v>19.62</v>
      </c>
      <c r="H690" s="40">
        <f t="shared" si="75"/>
        <v>25.32</v>
      </c>
      <c r="I690" s="20">
        <f>F690*H690</f>
        <v>25.32</v>
      </c>
      <c r="J690" s="124">
        <f t="shared" si="76"/>
        <v>4.0000000000000003E-5</v>
      </c>
      <c r="K690" s="135"/>
      <c r="L690" s="92"/>
      <c r="M690" s="136"/>
      <c r="N690" s="136"/>
      <c r="O690" s="136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2"/>
      <c r="AD690" s="142"/>
      <c r="AE690" s="142"/>
      <c r="AF690" s="142"/>
      <c r="AG690" s="142"/>
      <c r="AH690" s="142"/>
      <c r="AI690" s="142"/>
      <c r="AJ690" s="142"/>
      <c r="AK690" s="142"/>
      <c r="AL690" s="142"/>
      <c r="AM690" s="142"/>
      <c r="AN690" s="142"/>
      <c r="AO690" s="142"/>
      <c r="AP690" s="142"/>
      <c r="AQ690" s="142"/>
      <c r="AR690" s="142"/>
      <c r="AS690" s="142"/>
    </row>
    <row r="691" spans="1:45" s="71" customFormat="1" ht="25.5" x14ac:dyDescent="0.2">
      <c r="A691" s="30"/>
      <c r="B691" s="22">
        <v>94497</v>
      </c>
      <c r="C691" s="244" t="s">
        <v>1038</v>
      </c>
      <c r="D691" s="33" t="s">
        <v>1033</v>
      </c>
      <c r="E691" s="14" t="s">
        <v>35</v>
      </c>
      <c r="F691" s="179">
        <v>1</v>
      </c>
      <c r="G691" s="40">
        <v>60.95</v>
      </c>
      <c r="H691" s="40">
        <f t="shared" si="75"/>
        <v>78.66</v>
      </c>
      <c r="I691" s="20">
        <f>F691*H691</f>
        <v>78.66</v>
      </c>
      <c r="J691" s="124">
        <f t="shared" si="76"/>
        <v>1.2999999999999999E-4</v>
      </c>
      <c r="K691" s="135"/>
      <c r="L691" s="92"/>
      <c r="M691" s="136"/>
      <c r="N691" s="136"/>
      <c r="O691" s="136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2"/>
      <c r="AD691" s="142"/>
      <c r="AE691" s="142"/>
      <c r="AF691" s="142"/>
      <c r="AG691" s="142"/>
      <c r="AH691" s="142"/>
      <c r="AI691" s="142"/>
      <c r="AJ691" s="142"/>
      <c r="AK691" s="142"/>
      <c r="AL691" s="142"/>
      <c r="AM691" s="142"/>
      <c r="AN691" s="142"/>
      <c r="AO691" s="142"/>
      <c r="AP691" s="142"/>
      <c r="AQ691" s="142"/>
      <c r="AR691" s="142"/>
      <c r="AS691" s="142"/>
    </row>
    <row r="692" spans="1:45" s="71" customFormat="1" ht="25.5" x14ac:dyDescent="0.2">
      <c r="A692" s="30"/>
      <c r="B692" s="22">
        <v>89356</v>
      </c>
      <c r="C692" s="244" t="s">
        <v>1039</v>
      </c>
      <c r="D692" s="33" t="s">
        <v>39</v>
      </c>
      <c r="E692" s="14" t="s">
        <v>37</v>
      </c>
      <c r="F692" s="179">
        <v>111.2</v>
      </c>
      <c r="G692" s="40">
        <v>11.07</v>
      </c>
      <c r="H692" s="40">
        <f t="shared" si="75"/>
        <v>14.28</v>
      </c>
      <c r="I692" s="20">
        <f>F692*H692</f>
        <v>1587.94</v>
      </c>
      <c r="J692" s="124">
        <f t="shared" si="76"/>
        <v>2.65E-3</v>
      </c>
      <c r="K692" s="135"/>
      <c r="L692" s="92"/>
      <c r="M692" s="136"/>
      <c r="N692" s="136"/>
      <c r="O692" s="136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2"/>
      <c r="AD692" s="142"/>
      <c r="AE692" s="142"/>
      <c r="AF692" s="142"/>
      <c r="AG692" s="142"/>
      <c r="AH692" s="142"/>
      <c r="AI692" s="142"/>
      <c r="AJ692" s="142"/>
      <c r="AK692" s="142"/>
      <c r="AL692" s="142"/>
      <c r="AM692" s="142"/>
      <c r="AN692" s="142"/>
      <c r="AO692" s="142"/>
      <c r="AP692" s="142"/>
      <c r="AQ692" s="142"/>
      <c r="AR692" s="142"/>
      <c r="AS692" s="142"/>
    </row>
    <row r="693" spans="1:45" s="71" customFormat="1" ht="25.5" x14ac:dyDescent="0.2">
      <c r="A693" s="30"/>
      <c r="B693" s="22">
        <v>91787</v>
      </c>
      <c r="C693" s="244" t="s">
        <v>1040</v>
      </c>
      <c r="D693" s="33" t="s">
        <v>84</v>
      </c>
      <c r="E693" s="14" t="s">
        <v>37</v>
      </c>
      <c r="F693" s="179">
        <v>10.199999999999999</v>
      </c>
      <c r="G693" s="40">
        <v>19.22</v>
      </c>
      <c r="H693" s="40">
        <f t="shared" si="75"/>
        <v>24.8</v>
      </c>
      <c r="I693" s="20">
        <f>F693*H693</f>
        <v>252.96</v>
      </c>
      <c r="J693" s="124">
        <f t="shared" si="76"/>
        <v>4.2000000000000002E-4</v>
      </c>
      <c r="K693" s="135"/>
      <c r="L693" s="92"/>
      <c r="M693" s="136"/>
      <c r="N693" s="136"/>
      <c r="O693" s="136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2"/>
      <c r="AD693" s="142"/>
      <c r="AE693" s="142"/>
      <c r="AF693" s="142"/>
      <c r="AG693" s="142"/>
      <c r="AH693" s="142"/>
      <c r="AI693" s="142"/>
      <c r="AJ693" s="142"/>
      <c r="AK693" s="142"/>
      <c r="AL693" s="142"/>
      <c r="AM693" s="142"/>
      <c r="AN693" s="142"/>
      <c r="AO693" s="142"/>
      <c r="AP693" s="142"/>
      <c r="AQ693" s="142"/>
      <c r="AR693" s="142"/>
      <c r="AS693" s="142"/>
    </row>
    <row r="694" spans="1:45" s="71" customFormat="1" ht="38.25" x14ac:dyDescent="0.2">
      <c r="A694" s="30"/>
      <c r="B694" s="22">
        <v>94793</v>
      </c>
      <c r="C694" s="244" t="s">
        <v>1041</v>
      </c>
      <c r="D694" s="33" t="s">
        <v>1168</v>
      </c>
      <c r="E694" s="14" t="s">
        <v>35</v>
      </c>
      <c r="F694" s="179">
        <v>1</v>
      </c>
      <c r="G694" s="40">
        <v>83.74</v>
      </c>
      <c r="H694" s="40">
        <f t="shared" si="75"/>
        <v>108.08</v>
      </c>
      <c r="I694" s="20">
        <f>F694*H694</f>
        <v>108.08</v>
      </c>
      <c r="J694" s="124">
        <f t="shared" si="76"/>
        <v>1.8000000000000001E-4</v>
      </c>
      <c r="K694" s="135"/>
      <c r="L694" s="92"/>
      <c r="M694" s="136"/>
      <c r="N694" s="136"/>
      <c r="O694" s="136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2"/>
      <c r="AD694" s="142"/>
      <c r="AE694" s="142"/>
      <c r="AF694" s="142"/>
      <c r="AG694" s="142"/>
      <c r="AH694" s="142"/>
      <c r="AI694" s="142"/>
      <c r="AJ694" s="142"/>
      <c r="AK694" s="142"/>
      <c r="AL694" s="142"/>
      <c r="AM694" s="142"/>
      <c r="AN694" s="142"/>
      <c r="AO694" s="142"/>
      <c r="AP694" s="142"/>
      <c r="AQ694" s="142"/>
      <c r="AR694" s="142"/>
      <c r="AS694" s="142"/>
    </row>
    <row r="695" spans="1:45" s="71" customFormat="1" ht="38.25" x14ac:dyDescent="0.2">
      <c r="A695" s="30"/>
      <c r="B695" s="22">
        <v>89986</v>
      </c>
      <c r="C695" s="244" t="s">
        <v>1042</v>
      </c>
      <c r="D695" s="33" t="s">
        <v>85</v>
      </c>
      <c r="E695" s="14" t="s">
        <v>35</v>
      </c>
      <c r="F695" s="179">
        <v>7</v>
      </c>
      <c r="G695" s="40">
        <v>40.46</v>
      </c>
      <c r="H695" s="40">
        <f t="shared" si="75"/>
        <v>52.22</v>
      </c>
      <c r="I695" s="20">
        <f>F695*H695</f>
        <v>365.54</v>
      </c>
      <c r="J695" s="124">
        <f t="shared" si="76"/>
        <v>6.0999999999999997E-4</v>
      </c>
      <c r="K695" s="135"/>
      <c r="L695" s="92"/>
      <c r="M695" s="136"/>
      <c r="N695" s="136"/>
      <c r="O695" s="136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2"/>
      <c r="AD695" s="142"/>
      <c r="AE695" s="142"/>
      <c r="AF695" s="142"/>
      <c r="AG695" s="142"/>
      <c r="AH695" s="142"/>
      <c r="AI695" s="142"/>
      <c r="AJ695" s="142"/>
      <c r="AK695" s="142"/>
      <c r="AL695" s="142"/>
      <c r="AM695" s="142"/>
      <c r="AN695" s="142"/>
      <c r="AO695" s="142"/>
      <c r="AP695" s="142"/>
      <c r="AQ695" s="142"/>
      <c r="AR695" s="142"/>
      <c r="AS695" s="142"/>
    </row>
    <row r="696" spans="1:45" s="71" customFormat="1" ht="38.25" x14ac:dyDescent="0.2">
      <c r="A696" s="30"/>
      <c r="B696" s="22">
        <v>89985</v>
      </c>
      <c r="C696" s="244" t="s">
        <v>1043</v>
      </c>
      <c r="D696" s="33" t="s">
        <v>110</v>
      </c>
      <c r="E696" s="14" t="s">
        <v>35</v>
      </c>
      <c r="F696" s="179">
        <v>1</v>
      </c>
      <c r="G696" s="40">
        <v>42.66</v>
      </c>
      <c r="H696" s="40">
        <f t="shared" si="75"/>
        <v>55.06</v>
      </c>
      <c r="I696" s="20">
        <f>F696*H696</f>
        <v>55.06</v>
      </c>
      <c r="J696" s="124">
        <f t="shared" si="76"/>
        <v>9.0000000000000006E-5</v>
      </c>
      <c r="K696" s="135"/>
      <c r="L696" s="92"/>
      <c r="M696" s="136"/>
      <c r="N696" s="136"/>
      <c r="O696" s="136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2"/>
      <c r="AD696" s="142"/>
      <c r="AE696" s="142"/>
      <c r="AF696" s="142"/>
      <c r="AG696" s="142"/>
      <c r="AH696" s="142"/>
      <c r="AI696" s="142"/>
      <c r="AJ696" s="142"/>
      <c r="AK696" s="142"/>
      <c r="AL696" s="142"/>
      <c r="AM696" s="142"/>
      <c r="AN696" s="142"/>
      <c r="AO696" s="142"/>
      <c r="AP696" s="142"/>
      <c r="AQ696" s="142"/>
      <c r="AR696" s="142"/>
      <c r="AS696" s="142"/>
    </row>
    <row r="697" spans="1:45" s="71" customFormat="1" x14ac:dyDescent="0.2">
      <c r="A697" s="30"/>
      <c r="B697" s="22"/>
      <c r="C697" s="246"/>
      <c r="D697" s="173"/>
      <c r="E697" s="174"/>
      <c r="F697" s="174"/>
      <c r="G697" s="290"/>
      <c r="H697" s="224" t="s">
        <v>92</v>
      </c>
      <c r="I697" s="60">
        <f>SUM(I687:I696)</f>
        <v>3643.48</v>
      </c>
      <c r="J697" s="123">
        <f t="shared" si="76"/>
        <v>6.0899999999999999E-3</v>
      </c>
      <c r="K697" s="135"/>
      <c r="L697" s="92"/>
      <c r="M697" s="136"/>
      <c r="N697" s="136"/>
      <c r="O697" s="136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2"/>
      <c r="AD697" s="142"/>
      <c r="AE697" s="142"/>
      <c r="AF697" s="142"/>
      <c r="AG697" s="142"/>
      <c r="AH697" s="142"/>
      <c r="AI697" s="142"/>
      <c r="AJ697" s="142"/>
      <c r="AK697" s="142"/>
      <c r="AL697" s="142"/>
      <c r="AM697" s="142"/>
      <c r="AN697" s="142"/>
      <c r="AO697" s="142"/>
      <c r="AP697" s="142"/>
      <c r="AQ697" s="142"/>
      <c r="AR697" s="142"/>
      <c r="AS697" s="142"/>
    </row>
    <row r="698" spans="1:45" s="71" customFormat="1" ht="13.5" thickBot="1" x14ac:dyDescent="0.25">
      <c r="A698" s="30"/>
      <c r="B698" s="22"/>
      <c r="C698" s="88"/>
      <c r="D698" s="88"/>
      <c r="E698" s="88"/>
      <c r="F698" s="88"/>
      <c r="G698" s="88"/>
      <c r="H698" s="88"/>
      <c r="I698" s="103"/>
      <c r="J698" s="47"/>
      <c r="K698" s="135"/>
      <c r="L698" s="92"/>
      <c r="M698" s="136"/>
      <c r="N698" s="136"/>
      <c r="O698" s="136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2"/>
      <c r="AD698" s="142"/>
      <c r="AE698" s="142"/>
      <c r="AF698" s="142"/>
      <c r="AG698" s="142"/>
      <c r="AH698" s="142"/>
      <c r="AI698" s="142"/>
      <c r="AJ698" s="142"/>
      <c r="AK698" s="142"/>
      <c r="AL698" s="142"/>
      <c r="AM698" s="142"/>
      <c r="AN698" s="142"/>
      <c r="AO698" s="142"/>
      <c r="AP698" s="142"/>
      <c r="AQ698" s="142"/>
      <c r="AR698" s="142"/>
      <c r="AS698" s="142"/>
    </row>
    <row r="699" spans="1:45" s="71" customFormat="1" ht="12.75" customHeight="1" thickBot="1" x14ac:dyDescent="0.25">
      <c r="A699" s="30"/>
      <c r="B699" s="22"/>
      <c r="C699" s="221" t="s">
        <v>48</v>
      </c>
      <c r="D699" s="318" t="s">
        <v>91</v>
      </c>
      <c r="E699" s="319"/>
      <c r="F699" s="319"/>
      <c r="G699" s="319"/>
      <c r="H699" s="319"/>
      <c r="I699" s="320"/>
      <c r="J699" s="49"/>
      <c r="K699" s="135"/>
      <c r="L699" s="92"/>
      <c r="M699" s="136"/>
      <c r="N699" s="136"/>
      <c r="O699" s="136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2"/>
      <c r="AD699" s="142"/>
      <c r="AE699" s="142"/>
      <c r="AF699" s="142"/>
      <c r="AG699" s="142"/>
      <c r="AH699" s="142"/>
      <c r="AI699" s="142"/>
      <c r="AJ699" s="142"/>
      <c r="AK699" s="142"/>
      <c r="AL699" s="142"/>
      <c r="AM699" s="142"/>
      <c r="AN699" s="142"/>
      <c r="AO699" s="142"/>
      <c r="AP699" s="142"/>
      <c r="AQ699" s="142"/>
      <c r="AR699" s="142"/>
      <c r="AS699" s="142"/>
    </row>
    <row r="700" spans="1:45" s="71" customFormat="1" ht="12.75" customHeight="1" x14ac:dyDescent="0.2">
      <c r="A700" s="30"/>
      <c r="B700" s="22"/>
      <c r="C700" s="55" t="s">
        <v>1002</v>
      </c>
      <c r="D700" s="55" t="s">
        <v>471</v>
      </c>
      <c r="E700" s="56"/>
      <c r="F700" s="180"/>
      <c r="G700" s="57"/>
      <c r="H700" s="57"/>
      <c r="I700" s="58"/>
      <c r="J700" s="222"/>
      <c r="K700" s="135"/>
      <c r="L700" s="92"/>
      <c r="M700" s="136"/>
      <c r="N700" s="136"/>
      <c r="O700" s="136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2"/>
      <c r="AD700" s="142"/>
      <c r="AE700" s="142"/>
      <c r="AF700" s="142"/>
      <c r="AG700" s="142"/>
      <c r="AH700" s="142"/>
      <c r="AI700" s="142"/>
      <c r="AJ700" s="142"/>
      <c r="AK700" s="142"/>
      <c r="AL700" s="142"/>
      <c r="AM700" s="142"/>
      <c r="AN700" s="142"/>
      <c r="AO700" s="142"/>
      <c r="AP700" s="142"/>
      <c r="AQ700" s="142"/>
      <c r="AR700" s="142"/>
      <c r="AS700" s="142"/>
    </row>
    <row r="701" spans="1:45" s="71" customFormat="1" ht="38.25" x14ac:dyDescent="0.2">
      <c r="A701" s="30"/>
      <c r="B701" s="22" t="s">
        <v>1239</v>
      </c>
      <c r="C701" s="218" t="s">
        <v>1003</v>
      </c>
      <c r="D701" s="259" t="s">
        <v>1098</v>
      </c>
      <c r="E701" s="14" t="s">
        <v>35</v>
      </c>
      <c r="F701" s="182">
        <v>13</v>
      </c>
      <c r="G701" s="40">
        <v>119.13</v>
      </c>
      <c r="H701" s="40">
        <f t="shared" ref="H701:H704" si="77">TRUNC((G701*(1+$I$6)),2)</f>
        <v>153.76</v>
      </c>
      <c r="I701" s="20">
        <f>F701*H701</f>
        <v>1998.88</v>
      </c>
      <c r="J701" s="124">
        <f>I701/$I$838</f>
        <v>3.3400000000000001E-3</v>
      </c>
      <c r="K701" s="135"/>
      <c r="L701" s="92"/>
      <c r="M701" s="136"/>
      <c r="N701" s="136"/>
      <c r="O701" s="136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2"/>
      <c r="AD701" s="142"/>
      <c r="AE701" s="142"/>
      <c r="AF701" s="142"/>
      <c r="AG701" s="142"/>
      <c r="AH701" s="142"/>
      <c r="AI701" s="142"/>
      <c r="AJ701" s="142"/>
      <c r="AK701" s="142"/>
      <c r="AL701" s="142"/>
      <c r="AM701" s="142"/>
      <c r="AN701" s="142"/>
      <c r="AO701" s="142"/>
      <c r="AP701" s="142"/>
      <c r="AQ701" s="142"/>
      <c r="AR701" s="142"/>
      <c r="AS701" s="142"/>
    </row>
    <row r="702" spans="1:45" s="71" customFormat="1" ht="25.5" x14ac:dyDescent="0.2">
      <c r="A702" s="30"/>
      <c r="B702" s="22">
        <v>89512</v>
      </c>
      <c r="C702" s="218" t="s">
        <v>1004</v>
      </c>
      <c r="D702" s="73" t="s">
        <v>479</v>
      </c>
      <c r="E702" s="14" t="s">
        <v>37</v>
      </c>
      <c r="F702" s="182">
        <v>6.85</v>
      </c>
      <c r="G702" s="40">
        <v>37.75</v>
      </c>
      <c r="H702" s="40">
        <f t="shared" si="77"/>
        <v>48.72</v>
      </c>
      <c r="I702" s="20">
        <f>F702*H702</f>
        <v>333.73</v>
      </c>
      <c r="J702" s="124">
        <f>I702/$I$838</f>
        <v>5.5999999999999995E-4</v>
      </c>
      <c r="K702" s="135"/>
      <c r="L702" s="92"/>
      <c r="M702" s="136"/>
      <c r="N702" s="136"/>
      <c r="O702" s="136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2"/>
      <c r="AD702" s="142"/>
      <c r="AE702" s="142"/>
      <c r="AF702" s="142"/>
      <c r="AG702" s="142"/>
      <c r="AH702" s="142"/>
      <c r="AI702" s="142"/>
      <c r="AJ702" s="142"/>
      <c r="AK702" s="142"/>
      <c r="AL702" s="142"/>
      <c r="AM702" s="142"/>
      <c r="AN702" s="142"/>
      <c r="AO702" s="142"/>
      <c r="AP702" s="142"/>
      <c r="AQ702" s="142"/>
      <c r="AR702" s="142"/>
      <c r="AS702" s="142"/>
    </row>
    <row r="703" spans="1:45" s="71" customFormat="1" ht="25.5" x14ac:dyDescent="0.2">
      <c r="A703" s="30"/>
      <c r="B703" s="22" t="s">
        <v>1251</v>
      </c>
      <c r="C703" s="218" t="s">
        <v>1005</v>
      </c>
      <c r="D703" s="73" t="s">
        <v>478</v>
      </c>
      <c r="E703" s="14" t="s">
        <v>37</v>
      </c>
      <c r="F703" s="182">
        <v>32.15</v>
      </c>
      <c r="G703" s="40">
        <v>42.73</v>
      </c>
      <c r="H703" s="40">
        <f t="shared" si="77"/>
        <v>55.15</v>
      </c>
      <c r="I703" s="20">
        <f>F703*H703</f>
        <v>1773.07</v>
      </c>
      <c r="J703" s="124">
        <f>I703/$I$838</f>
        <v>2.96E-3</v>
      </c>
      <c r="K703" s="135"/>
      <c r="L703" s="92"/>
      <c r="M703" s="136"/>
      <c r="N703" s="136"/>
      <c r="O703" s="136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2"/>
      <c r="AD703" s="142"/>
      <c r="AE703" s="142"/>
      <c r="AF703" s="142"/>
      <c r="AG703" s="142"/>
      <c r="AH703" s="142"/>
      <c r="AI703" s="142"/>
      <c r="AJ703" s="142"/>
      <c r="AK703" s="142"/>
      <c r="AL703" s="142"/>
      <c r="AM703" s="142"/>
      <c r="AN703" s="142"/>
      <c r="AO703" s="142"/>
      <c r="AP703" s="142"/>
      <c r="AQ703" s="142"/>
      <c r="AR703" s="142"/>
      <c r="AS703" s="142"/>
    </row>
    <row r="704" spans="1:45" s="71" customFormat="1" ht="25.5" x14ac:dyDescent="0.2">
      <c r="A704" s="30"/>
      <c r="B704" s="22" t="s">
        <v>1236</v>
      </c>
      <c r="C704" s="218" t="s">
        <v>1006</v>
      </c>
      <c r="D704" s="259" t="s">
        <v>477</v>
      </c>
      <c r="E704" s="14" t="s">
        <v>37</v>
      </c>
      <c r="F704" s="182">
        <v>56.35</v>
      </c>
      <c r="G704" s="40">
        <v>78.42</v>
      </c>
      <c r="H704" s="40">
        <f t="shared" si="77"/>
        <v>101.21</v>
      </c>
      <c r="I704" s="20">
        <f>F704*H704</f>
        <v>5703.18</v>
      </c>
      <c r="J704" s="124">
        <f>I704/$I$838</f>
        <v>9.5399999999999999E-3</v>
      </c>
      <c r="K704" s="135"/>
      <c r="L704" s="92"/>
      <c r="M704" s="136"/>
      <c r="N704" s="136"/>
      <c r="O704" s="136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2"/>
      <c r="AD704" s="142"/>
      <c r="AE704" s="142"/>
      <c r="AF704" s="142"/>
      <c r="AG704" s="142"/>
      <c r="AH704" s="142"/>
      <c r="AI704" s="142"/>
      <c r="AJ704" s="142"/>
      <c r="AK704" s="142"/>
      <c r="AL704" s="142"/>
      <c r="AM704" s="142"/>
      <c r="AN704" s="142"/>
      <c r="AO704" s="142"/>
      <c r="AP704" s="142"/>
      <c r="AQ704" s="142"/>
      <c r="AR704" s="142"/>
      <c r="AS704" s="142"/>
    </row>
    <row r="705" spans="1:45" s="71" customFormat="1" x14ac:dyDescent="0.2">
      <c r="A705" s="30"/>
      <c r="B705" s="22"/>
      <c r="C705" s="218"/>
      <c r="D705" s="325" t="s">
        <v>475</v>
      </c>
      <c r="E705" s="325"/>
      <c r="F705" s="325"/>
      <c r="G705" s="325"/>
      <c r="H705" s="326"/>
      <c r="I705" s="110">
        <f>SUM(I701:I704)</f>
        <v>9808.86</v>
      </c>
      <c r="J705" s="124">
        <f>I705/$I$838</f>
        <v>1.6400000000000001E-2</v>
      </c>
      <c r="K705" s="135"/>
      <c r="L705" s="92"/>
      <c r="M705" s="136"/>
      <c r="N705" s="136"/>
      <c r="O705" s="136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2"/>
      <c r="AD705" s="142"/>
      <c r="AE705" s="142"/>
      <c r="AF705" s="142"/>
      <c r="AG705" s="142"/>
      <c r="AH705" s="142"/>
      <c r="AI705" s="142"/>
      <c r="AJ705" s="142"/>
      <c r="AK705" s="142"/>
      <c r="AL705" s="142"/>
      <c r="AM705" s="142"/>
      <c r="AN705" s="142"/>
      <c r="AO705" s="142"/>
      <c r="AP705" s="142"/>
      <c r="AQ705" s="142"/>
      <c r="AR705" s="142"/>
      <c r="AS705" s="142"/>
    </row>
    <row r="706" spans="1:45" s="71" customFormat="1" x14ac:dyDescent="0.2">
      <c r="A706" s="30"/>
      <c r="B706" s="22"/>
      <c r="C706" s="55" t="s">
        <v>1007</v>
      </c>
      <c r="D706" s="55" t="s">
        <v>472</v>
      </c>
      <c r="E706" s="56"/>
      <c r="F706" s="180"/>
      <c r="G706" s="57"/>
      <c r="H706" s="57"/>
      <c r="I706" s="58"/>
      <c r="J706" s="222"/>
      <c r="K706" s="135"/>
      <c r="L706" s="92"/>
      <c r="M706" s="136"/>
      <c r="N706" s="136"/>
      <c r="O706" s="136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2"/>
      <c r="AD706" s="142"/>
      <c r="AE706" s="142"/>
      <c r="AF706" s="142"/>
      <c r="AG706" s="142"/>
      <c r="AH706" s="142"/>
      <c r="AI706" s="142"/>
      <c r="AJ706" s="142"/>
      <c r="AK706" s="142"/>
      <c r="AL706" s="142"/>
      <c r="AM706" s="142"/>
      <c r="AN706" s="142"/>
      <c r="AO706" s="142"/>
      <c r="AP706" s="142"/>
      <c r="AQ706" s="142"/>
      <c r="AR706" s="142"/>
      <c r="AS706" s="142"/>
    </row>
    <row r="707" spans="1:45" s="71" customFormat="1" x14ac:dyDescent="0.2">
      <c r="A707" s="30"/>
      <c r="B707" s="22">
        <v>93358</v>
      </c>
      <c r="C707" s="228" t="s">
        <v>1008</v>
      </c>
      <c r="D707" s="73" t="s">
        <v>473</v>
      </c>
      <c r="E707" s="14" t="s">
        <v>36</v>
      </c>
      <c r="F707" s="182">
        <v>3.62</v>
      </c>
      <c r="G707" s="40">
        <v>37.590000000000003</v>
      </c>
      <c r="H707" s="40">
        <f t="shared" ref="H707:H708" si="78">TRUNC((G707*(1+$I$6)),2)</f>
        <v>48.51</v>
      </c>
      <c r="I707" s="20">
        <f>F707*H707</f>
        <v>175.61</v>
      </c>
      <c r="J707" s="124">
        <f>I707/$I$838</f>
        <v>2.9E-4</v>
      </c>
      <c r="K707" s="135"/>
      <c r="L707" s="92"/>
      <c r="M707" s="136"/>
      <c r="N707" s="136"/>
      <c r="O707" s="136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2"/>
      <c r="AD707" s="142"/>
      <c r="AE707" s="142"/>
      <c r="AF707" s="142"/>
      <c r="AG707" s="142"/>
      <c r="AH707" s="142"/>
      <c r="AI707" s="142"/>
      <c r="AJ707" s="142"/>
      <c r="AK707" s="142"/>
      <c r="AL707" s="142"/>
      <c r="AM707" s="142"/>
      <c r="AN707" s="142"/>
      <c r="AO707" s="142"/>
      <c r="AP707" s="142"/>
      <c r="AQ707" s="142"/>
      <c r="AR707" s="142"/>
      <c r="AS707" s="142"/>
    </row>
    <row r="708" spans="1:45" s="71" customFormat="1" ht="51" x14ac:dyDescent="0.2">
      <c r="A708" s="30"/>
      <c r="B708" s="22" t="s">
        <v>1229</v>
      </c>
      <c r="C708" s="218" t="s">
        <v>1009</v>
      </c>
      <c r="D708" s="259" t="s">
        <v>474</v>
      </c>
      <c r="E708" s="14" t="s">
        <v>37</v>
      </c>
      <c r="F708" s="182">
        <v>24.5</v>
      </c>
      <c r="G708" s="40">
        <v>25.5</v>
      </c>
      <c r="H708" s="40">
        <f t="shared" si="78"/>
        <v>32.909999999999997</v>
      </c>
      <c r="I708" s="20">
        <f>F708*H708</f>
        <v>806.3</v>
      </c>
      <c r="J708" s="124">
        <f>I708/$I$838</f>
        <v>1.3500000000000001E-3</v>
      </c>
      <c r="K708" s="135"/>
      <c r="L708" s="92"/>
      <c r="M708" s="136"/>
      <c r="N708" s="136"/>
      <c r="O708" s="136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2"/>
      <c r="AD708" s="142"/>
      <c r="AE708" s="142"/>
      <c r="AF708" s="142"/>
      <c r="AG708" s="142"/>
      <c r="AH708" s="142"/>
      <c r="AI708" s="142"/>
      <c r="AJ708" s="142"/>
      <c r="AK708" s="142"/>
      <c r="AL708" s="142"/>
      <c r="AM708" s="142"/>
      <c r="AN708" s="142"/>
      <c r="AO708" s="142"/>
      <c r="AP708" s="142"/>
      <c r="AQ708" s="142"/>
      <c r="AR708" s="142"/>
      <c r="AS708" s="142"/>
    </row>
    <row r="709" spans="1:45" s="71" customFormat="1" x14ac:dyDescent="0.2">
      <c r="A709" s="30"/>
      <c r="B709" s="22"/>
      <c r="C709" s="218"/>
      <c r="D709" s="325" t="s">
        <v>476</v>
      </c>
      <c r="E709" s="325"/>
      <c r="F709" s="325"/>
      <c r="G709" s="325"/>
      <c r="H709" s="326"/>
      <c r="I709" s="110">
        <f>SUM(I707:I708)</f>
        <v>981.91</v>
      </c>
      <c r="J709" s="124">
        <f>I709/$I$838</f>
        <v>1.64E-3</v>
      </c>
      <c r="K709" s="135"/>
      <c r="L709" s="92"/>
      <c r="M709" s="136"/>
      <c r="N709" s="136"/>
      <c r="O709" s="136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2"/>
      <c r="AD709" s="142"/>
      <c r="AE709" s="142"/>
      <c r="AF709" s="142"/>
      <c r="AG709" s="142"/>
      <c r="AH709" s="142"/>
      <c r="AI709" s="142"/>
      <c r="AJ709" s="142"/>
      <c r="AK709" s="142"/>
      <c r="AL709" s="142"/>
      <c r="AM709" s="142"/>
      <c r="AN709" s="142"/>
      <c r="AO709" s="142"/>
      <c r="AP709" s="142"/>
      <c r="AQ709" s="142"/>
      <c r="AR709" s="142"/>
      <c r="AS709" s="142"/>
    </row>
    <row r="710" spans="1:45" s="71" customFormat="1" x14ac:dyDescent="0.2">
      <c r="A710" s="30"/>
      <c r="B710" s="22"/>
      <c r="C710" s="246"/>
      <c r="D710" s="220"/>
      <c r="E710" s="220"/>
      <c r="F710" s="220"/>
      <c r="G710" s="290"/>
      <c r="H710" s="224" t="s">
        <v>81</v>
      </c>
      <c r="I710" s="60">
        <f>SUM(I705,I709)</f>
        <v>10790.77</v>
      </c>
      <c r="J710" s="123">
        <f>I710/$I$838</f>
        <v>1.804E-2</v>
      </c>
      <c r="K710" s="135"/>
      <c r="L710" s="92"/>
      <c r="M710" s="136"/>
      <c r="N710" s="136"/>
      <c r="O710" s="136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2"/>
      <c r="AD710" s="142"/>
      <c r="AE710" s="142"/>
      <c r="AF710" s="142"/>
      <c r="AG710" s="142"/>
      <c r="AH710" s="142"/>
      <c r="AI710" s="142"/>
      <c r="AJ710" s="142"/>
      <c r="AK710" s="142"/>
      <c r="AL710" s="142"/>
      <c r="AM710" s="142"/>
      <c r="AN710" s="142"/>
      <c r="AO710" s="142"/>
      <c r="AP710" s="142"/>
      <c r="AQ710" s="142"/>
      <c r="AR710" s="142"/>
      <c r="AS710" s="142"/>
    </row>
    <row r="711" spans="1:45" s="71" customFormat="1" ht="13.5" thickBot="1" x14ac:dyDescent="0.25">
      <c r="A711" s="30"/>
      <c r="B711" s="22"/>
      <c r="C711" s="88"/>
      <c r="D711" s="88"/>
      <c r="E711" s="88"/>
      <c r="F711" s="88"/>
      <c r="G711" s="88"/>
      <c r="H711" s="88"/>
      <c r="I711" s="103"/>
      <c r="J711" s="47"/>
      <c r="K711" s="135"/>
      <c r="L711" s="92"/>
      <c r="M711" s="136"/>
      <c r="N711" s="136"/>
      <c r="O711" s="136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2"/>
      <c r="AD711" s="142"/>
      <c r="AE711" s="142"/>
      <c r="AF711" s="142"/>
      <c r="AG711" s="142"/>
      <c r="AH711" s="142"/>
      <c r="AI711" s="142"/>
      <c r="AJ711" s="142"/>
      <c r="AK711" s="142"/>
      <c r="AL711" s="142"/>
      <c r="AM711" s="142"/>
      <c r="AN711" s="142"/>
      <c r="AO711" s="142"/>
      <c r="AP711" s="142"/>
      <c r="AQ711" s="142"/>
      <c r="AR711" s="142"/>
      <c r="AS711" s="142"/>
    </row>
    <row r="712" spans="1:45" s="71" customFormat="1" ht="13.5" thickBot="1" x14ac:dyDescent="0.25">
      <c r="A712" s="30"/>
      <c r="B712" s="22"/>
      <c r="C712" s="221" t="s">
        <v>49</v>
      </c>
      <c r="D712" s="318" t="s">
        <v>87</v>
      </c>
      <c r="E712" s="319"/>
      <c r="F712" s="319"/>
      <c r="G712" s="319"/>
      <c r="H712" s="319"/>
      <c r="I712" s="320"/>
      <c r="J712" s="49"/>
      <c r="K712" s="135"/>
      <c r="L712" s="92"/>
      <c r="M712" s="136"/>
      <c r="N712" s="136"/>
      <c r="O712" s="136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2"/>
      <c r="AD712" s="142"/>
      <c r="AE712" s="142"/>
      <c r="AF712" s="142"/>
      <c r="AG712" s="142"/>
      <c r="AH712" s="142"/>
      <c r="AI712" s="142"/>
      <c r="AJ712" s="142"/>
      <c r="AK712" s="142"/>
      <c r="AL712" s="142"/>
      <c r="AM712" s="142"/>
      <c r="AN712" s="142"/>
      <c r="AO712" s="142"/>
      <c r="AP712" s="142"/>
      <c r="AQ712" s="142"/>
      <c r="AR712" s="142"/>
      <c r="AS712" s="142"/>
    </row>
    <row r="713" spans="1:45" s="71" customFormat="1" x14ac:dyDescent="0.2">
      <c r="A713" s="30"/>
      <c r="B713" s="22"/>
      <c r="C713" s="229" t="s">
        <v>483</v>
      </c>
      <c r="D713" s="128" t="s">
        <v>493</v>
      </c>
      <c r="E713" s="56"/>
      <c r="F713" s="180"/>
      <c r="G713" s="57"/>
      <c r="H713" s="57"/>
      <c r="I713" s="58"/>
      <c r="J713" s="124"/>
      <c r="K713" s="135"/>
      <c r="L713" s="92"/>
      <c r="M713" s="136"/>
      <c r="N713" s="136"/>
      <c r="O713" s="136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2"/>
      <c r="AD713" s="142"/>
      <c r="AE713" s="142"/>
      <c r="AF713" s="142"/>
      <c r="AG713" s="142"/>
      <c r="AH713" s="142"/>
      <c r="AI713" s="142"/>
      <c r="AJ713" s="142"/>
      <c r="AK713" s="142"/>
      <c r="AL713" s="142"/>
      <c r="AM713" s="142"/>
      <c r="AN713" s="142"/>
      <c r="AO713" s="142"/>
      <c r="AP713" s="142"/>
      <c r="AQ713" s="142"/>
      <c r="AR713" s="142"/>
      <c r="AS713" s="142"/>
    </row>
    <row r="714" spans="1:45" s="71" customFormat="1" ht="38.25" x14ac:dyDescent="0.2">
      <c r="A714" s="30"/>
      <c r="B714" s="22">
        <v>89711</v>
      </c>
      <c r="C714" s="228" t="s">
        <v>1010</v>
      </c>
      <c r="D714" s="73" t="s">
        <v>88</v>
      </c>
      <c r="E714" s="14" t="s">
        <v>37</v>
      </c>
      <c r="F714" s="182">
        <v>21.75</v>
      </c>
      <c r="G714" s="40">
        <v>10.210000000000001</v>
      </c>
      <c r="H714" s="40">
        <f t="shared" ref="H714:H721" si="79">TRUNC((G714*(1+$I$6)),2)</f>
        <v>13.17</v>
      </c>
      <c r="I714" s="20">
        <f>F714*H714</f>
        <v>286.45</v>
      </c>
      <c r="J714" s="124">
        <f t="shared" ref="J714:J721" si="80">I714/$I$838</f>
        <v>4.8000000000000001E-4</v>
      </c>
      <c r="K714" s="135"/>
      <c r="L714" s="92"/>
      <c r="M714" s="136"/>
      <c r="N714" s="136"/>
      <c r="O714" s="136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2"/>
      <c r="AD714" s="142"/>
      <c r="AE714" s="142"/>
      <c r="AF714" s="142"/>
      <c r="AG714" s="142"/>
      <c r="AH714" s="142"/>
      <c r="AI714" s="142"/>
      <c r="AJ714" s="142"/>
      <c r="AK714" s="142"/>
      <c r="AL714" s="142"/>
      <c r="AM714" s="142"/>
      <c r="AN714" s="142"/>
      <c r="AO714" s="142"/>
      <c r="AP714" s="142"/>
      <c r="AQ714" s="142"/>
      <c r="AR714" s="142"/>
      <c r="AS714" s="142"/>
    </row>
    <row r="715" spans="1:45" s="71" customFormat="1" ht="38.25" x14ac:dyDescent="0.2">
      <c r="A715" s="30"/>
      <c r="B715" s="22">
        <v>89712</v>
      </c>
      <c r="C715" s="228" t="s">
        <v>1011</v>
      </c>
      <c r="D715" s="73" t="s">
        <v>89</v>
      </c>
      <c r="E715" s="14" t="s">
        <v>37</v>
      </c>
      <c r="F715" s="182">
        <v>20.2</v>
      </c>
      <c r="G715" s="40">
        <v>15.56</v>
      </c>
      <c r="H715" s="40">
        <f t="shared" si="79"/>
        <v>20.079999999999998</v>
      </c>
      <c r="I715" s="20">
        <f>F715*H715</f>
        <v>405.62</v>
      </c>
      <c r="J715" s="124">
        <f t="shared" si="80"/>
        <v>6.8000000000000005E-4</v>
      </c>
      <c r="K715" s="135"/>
      <c r="L715" s="92"/>
      <c r="M715" s="136"/>
      <c r="N715" s="136"/>
      <c r="O715" s="136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2"/>
      <c r="AD715" s="142"/>
      <c r="AE715" s="142"/>
      <c r="AF715" s="142"/>
      <c r="AG715" s="142"/>
      <c r="AH715" s="142"/>
      <c r="AI715" s="142"/>
      <c r="AJ715" s="142"/>
      <c r="AK715" s="142"/>
      <c r="AL715" s="142"/>
      <c r="AM715" s="142"/>
      <c r="AN715" s="142"/>
      <c r="AO715" s="142"/>
      <c r="AP715" s="142"/>
      <c r="AQ715" s="142"/>
      <c r="AR715" s="142"/>
      <c r="AS715" s="142"/>
    </row>
    <row r="716" spans="1:45" s="71" customFormat="1" ht="38.25" x14ac:dyDescent="0.2">
      <c r="A716" s="30"/>
      <c r="B716" s="22">
        <v>89713</v>
      </c>
      <c r="C716" s="228" t="s">
        <v>1012</v>
      </c>
      <c r="D716" s="73" t="s">
        <v>481</v>
      </c>
      <c r="E716" s="14" t="s">
        <v>37</v>
      </c>
      <c r="F716" s="182">
        <v>7.25</v>
      </c>
      <c r="G716" s="40">
        <v>23.75</v>
      </c>
      <c r="H716" s="40">
        <f t="shared" si="79"/>
        <v>30.65</v>
      </c>
      <c r="I716" s="20">
        <f>F716*H716</f>
        <v>222.21</v>
      </c>
      <c r="J716" s="124">
        <f t="shared" si="80"/>
        <v>3.6999999999999999E-4</v>
      </c>
      <c r="K716" s="135"/>
      <c r="L716" s="92"/>
      <c r="M716" s="136"/>
      <c r="N716" s="136"/>
      <c r="O716" s="136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2"/>
      <c r="AD716" s="142"/>
      <c r="AE716" s="142"/>
      <c r="AF716" s="142"/>
      <c r="AG716" s="142"/>
      <c r="AH716" s="142"/>
      <c r="AI716" s="142"/>
      <c r="AJ716" s="142"/>
      <c r="AK716" s="142"/>
      <c r="AL716" s="142"/>
      <c r="AM716" s="142"/>
      <c r="AN716" s="142"/>
      <c r="AO716" s="142"/>
      <c r="AP716" s="142"/>
      <c r="AQ716" s="142"/>
      <c r="AR716" s="142"/>
      <c r="AS716" s="142"/>
    </row>
    <row r="717" spans="1:45" s="71" customFormat="1" ht="38.25" x14ac:dyDescent="0.2">
      <c r="A717" s="30"/>
      <c r="B717" s="22">
        <v>89714</v>
      </c>
      <c r="C717" s="228" t="s">
        <v>1013</v>
      </c>
      <c r="D717" s="73" t="s">
        <v>90</v>
      </c>
      <c r="E717" s="14" t="s">
        <v>37</v>
      </c>
      <c r="F717" s="182">
        <v>43.1</v>
      </c>
      <c r="G717" s="40">
        <v>30.32</v>
      </c>
      <c r="H717" s="40">
        <f t="shared" si="79"/>
        <v>39.130000000000003</v>
      </c>
      <c r="I717" s="20">
        <f>F717*H717</f>
        <v>1686.5</v>
      </c>
      <c r="J717" s="124">
        <f t="shared" si="80"/>
        <v>2.82E-3</v>
      </c>
      <c r="K717" s="135"/>
      <c r="L717" s="92"/>
      <c r="M717" s="136"/>
      <c r="N717" s="136"/>
      <c r="O717" s="136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2"/>
      <c r="AD717" s="142"/>
      <c r="AE717" s="142"/>
      <c r="AF717" s="142"/>
      <c r="AG717" s="142"/>
      <c r="AH717" s="142"/>
      <c r="AI717" s="142"/>
      <c r="AJ717" s="142"/>
      <c r="AK717" s="142"/>
      <c r="AL717" s="142"/>
      <c r="AM717" s="142"/>
      <c r="AN717" s="142"/>
      <c r="AO717" s="142"/>
      <c r="AP717" s="142"/>
      <c r="AQ717" s="142"/>
      <c r="AR717" s="142"/>
      <c r="AS717" s="142"/>
    </row>
    <row r="718" spans="1:45" s="71" customFormat="1" ht="38.25" x14ac:dyDescent="0.2">
      <c r="A718" s="30"/>
      <c r="B718" s="22">
        <v>91796</v>
      </c>
      <c r="C718" s="228" t="s">
        <v>1014</v>
      </c>
      <c r="D718" s="73" t="s">
        <v>120</v>
      </c>
      <c r="E718" s="14" t="s">
        <v>37</v>
      </c>
      <c r="F718" s="182">
        <v>5.3</v>
      </c>
      <c r="G718" s="40">
        <v>41.56</v>
      </c>
      <c r="H718" s="40">
        <f t="shared" si="79"/>
        <v>53.64</v>
      </c>
      <c r="I718" s="20">
        <f>F718*H718</f>
        <v>284.29000000000002</v>
      </c>
      <c r="J718" s="124">
        <f t="shared" si="80"/>
        <v>4.8000000000000001E-4</v>
      </c>
      <c r="K718" s="135"/>
      <c r="L718" s="92"/>
      <c r="M718" s="136"/>
      <c r="N718" s="136"/>
      <c r="O718" s="136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2"/>
      <c r="AD718" s="142"/>
      <c r="AE718" s="142"/>
      <c r="AF718" s="142"/>
      <c r="AG718" s="142"/>
      <c r="AH718" s="142"/>
      <c r="AI718" s="142"/>
      <c r="AJ718" s="142"/>
      <c r="AK718" s="142"/>
      <c r="AL718" s="142"/>
      <c r="AM718" s="142"/>
      <c r="AN718" s="142"/>
      <c r="AO718" s="142"/>
      <c r="AP718" s="142"/>
      <c r="AQ718" s="142"/>
      <c r="AR718" s="142"/>
      <c r="AS718" s="142"/>
    </row>
    <row r="719" spans="1:45" s="71" customFormat="1" ht="25.5" x14ac:dyDescent="0.2">
      <c r="A719" s="30"/>
      <c r="B719" s="22">
        <v>89482</v>
      </c>
      <c r="C719" s="228" t="s">
        <v>1015</v>
      </c>
      <c r="D719" s="11" t="s">
        <v>61</v>
      </c>
      <c r="E719" s="14" t="s">
        <v>35</v>
      </c>
      <c r="F719" s="182">
        <v>6</v>
      </c>
      <c r="G719" s="40">
        <v>14.12</v>
      </c>
      <c r="H719" s="40">
        <f t="shared" si="79"/>
        <v>18.22</v>
      </c>
      <c r="I719" s="20">
        <f>F719*H719</f>
        <v>109.32</v>
      </c>
      <c r="J719" s="124">
        <f t="shared" si="80"/>
        <v>1.8000000000000001E-4</v>
      </c>
      <c r="K719" s="135"/>
      <c r="L719" s="92"/>
      <c r="M719" s="136"/>
      <c r="N719" s="136"/>
      <c r="O719" s="136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2"/>
      <c r="AD719" s="142"/>
      <c r="AE719" s="142"/>
      <c r="AF719" s="142"/>
      <c r="AG719" s="142"/>
      <c r="AH719" s="142"/>
      <c r="AI719" s="142"/>
      <c r="AJ719" s="142"/>
      <c r="AK719" s="142"/>
      <c r="AL719" s="142"/>
      <c r="AM719" s="142"/>
      <c r="AN719" s="142"/>
      <c r="AO719" s="142"/>
      <c r="AP719" s="142"/>
      <c r="AQ719" s="142"/>
      <c r="AR719" s="142"/>
      <c r="AS719" s="142"/>
    </row>
    <row r="720" spans="1:45" s="71" customFormat="1" ht="38.25" x14ac:dyDescent="0.2">
      <c r="A720" s="30"/>
      <c r="B720" s="22">
        <v>98105</v>
      </c>
      <c r="C720" s="228" t="s">
        <v>1016</v>
      </c>
      <c r="D720" s="243" t="s">
        <v>1121</v>
      </c>
      <c r="E720" s="14" t="s">
        <v>35</v>
      </c>
      <c r="F720" s="182">
        <v>1</v>
      </c>
      <c r="G720" s="40">
        <v>380.42</v>
      </c>
      <c r="H720" s="40">
        <f t="shared" si="79"/>
        <v>491</v>
      </c>
      <c r="I720" s="20">
        <f>F720*H720</f>
        <v>491</v>
      </c>
      <c r="J720" s="124">
        <f t="shared" si="80"/>
        <v>8.1999999999999998E-4</v>
      </c>
      <c r="K720" s="135"/>
      <c r="L720" s="92"/>
      <c r="M720" s="136"/>
      <c r="N720" s="136"/>
      <c r="O720" s="136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2"/>
      <c r="AD720" s="142"/>
      <c r="AE720" s="142"/>
      <c r="AF720" s="142"/>
      <c r="AG720" s="142"/>
      <c r="AH720" s="142"/>
      <c r="AI720" s="142"/>
      <c r="AJ720" s="142"/>
      <c r="AK720" s="142"/>
      <c r="AL720" s="142"/>
      <c r="AM720" s="142"/>
      <c r="AN720" s="142"/>
      <c r="AO720" s="142"/>
      <c r="AP720" s="142"/>
      <c r="AQ720" s="142"/>
      <c r="AR720" s="142"/>
      <c r="AS720" s="142"/>
    </row>
    <row r="721" spans="1:45" s="71" customFormat="1" ht="38.25" x14ac:dyDescent="0.2">
      <c r="A721" s="30"/>
      <c r="B721" s="22" t="s">
        <v>1239</v>
      </c>
      <c r="C721" s="228" t="s">
        <v>1120</v>
      </c>
      <c r="D721" s="259" t="s">
        <v>1119</v>
      </c>
      <c r="E721" s="14" t="s">
        <v>35</v>
      </c>
      <c r="F721" s="182">
        <v>3</v>
      </c>
      <c r="G721" s="40">
        <v>119.13</v>
      </c>
      <c r="H721" s="40">
        <f t="shared" si="79"/>
        <v>153.76</v>
      </c>
      <c r="I721" s="20">
        <f>F721*H721</f>
        <v>461.28</v>
      </c>
      <c r="J721" s="124">
        <f t="shared" si="80"/>
        <v>7.6999999999999996E-4</v>
      </c>
      <c r="K721" s="135"/>
      <c r="L721" s="92"/>
      <c r="M721" s="136"/>
      <c r="N721" s="136"/>
      <c r="O721" s="136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2"/>
      <c r="AD721" s="142"/>
      <c r="AE721" s="142"/>
      <c r="AF721" s="142"/>
      <c r="AG721" s="142"/>
      <c r="AH721" s="142"/>
      <c r="AI721" s="142"/>
      <c r="AJ721" s="142"/>
      <c r="AK721" s="142"/>
      <c r="AL721" s="142"/>
      <c r="AM721" s="142"/>
      <c r="AN721" s="142"/>
      <c r="AO721" s="142"/>
      <c r="AP721" s="142"/>
      <c r="AQ721" s="142"/>
      <c r="AR721" s="142"/>
      <c r="AS721" s="142"/>
    </row>
    <row r="722" spans="1:45" s="71" customFormat="1" x14ac:dyDescent="0.2">
      <c r="A722" s="30"/>
      <c r="B722" s="22"/>
      <c r="C722" s="218"/>
      <c r="D722" s="325" t="s">
        <v>486</v>
      </c>
      <c r="E722" s="325"/>
      <c r="F722" s="325"/>
      <c r="G722" s="325"/>
      <c r="H722" s="326"/>
      <c r="I722" s="110">
        <f>SUM(I714:I721)</f>
        <v>3946.67</v>
      </c>
      <c r="J722" s="124"/>
      <c r="K722" s="135"/>
      <c r="L722" s="92"/>
      <c r="M722" s="136"/>
      <c r="N722" s="136"/>
      <c r="O722" s="136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2"/>
      <c r="AD722" s="142"/>
      <c r="AE722" s="142"/>
      <c r="AF722" s="142"/>
      <c r="AG722" s="142"/>
      <c r="AH722" s="142"/>
      <c r="AI722" s="142"/>
      <c r="AJ722" s="142"/>
      <c r="AK722" s="142"/>
      <c r="AL722" s="142"/>
      <c r="AM722" s="142"/>
      <c r="AN722" s="142"/>
      <c r="AO722" s="142"/>
      <c r="AP722" s="142"/>
      <c r="AQ722" s="142"/>
      <c r="AR722" s="142"/>
      <c r="AS722" s="142"/>
    </row>
    <row r="723" spans="1:45" s="71" customFormat="1" x14ac:dyDescent="0.2">
      <c r="A723" s="30"/>
      <c r="B723" s="22"/>
      <c r="C723" s="229" t="s">
        <v>484</v>
      </c>
      <c r="D723" s="128" t="s">
        <v>494</v>
      </c>
      <c r="E723" s="56"/>
      <c r="F723" s="180"/>
      <c r="G723" s="57"/>
      <c r="H723" s="57"/>
      <c r="I723" s="58"/>
      <c r="J723" s="124"/>
      <c r="K723" s="135"/>
      <c r="L723" s="92"/>
      <c r="M723" s="136"/>
      <c r="N723" s="136"/>
      <c r="O723" s="136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2"/>
      <c r="AD723" s="142"/>
      <c r="AE723" s="142"/>
      <c r="AF723" s="142"/>
      <c r="AG723" s="142"/>
      <c r="AH723" s="142"/>
      <c r="AI723" s="142"/>
      <c r="AJ723" s="142"/>
      <c r="AK723" s="142"/>
      <c r="AL723" s="142"/>
      <c r="AM723" s="142"/>
      <c r="AN723" s="142"/>
      <c r="AO723" s="142"/>
      <c r="AP723" s="142"/>
      <c r="AQ723" s="142"/>
      <c r="AR723" s="142"/>
      <c r="AS723" s="142"/>
    </row>
    <row r="724" spans="1:45" s="71" customFormat="1" x14ac:dyDescent="0.2">
      <c r="A724" s="30"/>
      <c r="B724" s="22">
        <v>93358</v>
      </c>
      <c r="C724" s="228" t="s">
        <v>1017</v>
      </c>
      <c r="D724" s="73" t="s">
        <v>482</v>
      </c>
      <c r="E724" s="14" t="s">
        <v>36</v>
      </c>
      <c r="F724" s="182">
        <v>27.54</v>
      </c>
      <c r="G724" s="40">
        <v>37.590000000000003</v>
      </c>
      <c r="H724" s="40">
        <f t="shared" ref="H724:H736" si="81">TRUNC((G724*(1+$I$6)),2)</f>
        <v>48.51</v>
      </c>
      <c r="I724" s="20">
        <f>F724*H724</f>
        <v>1335.97</v>
      </c>
      <c r="J724" s="124">
        <f t="shared" ref="J724:J736" si="82">I724/$I$838</f>
        <v>2.2300000000000002E-3</v>
      </c>
      <c r="K724" s="135"/>
      <c r="L724" s="92"/>
      <c r="M724" s="136"/>
      <c r="N724" s="136"/>
      <c r="O724" s="136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2"/>
      <c r="AD724" s="142"/>
      <c r="AE724" s="142"/>
      <c r="AF724" s="142"/>
      <c r="AG724" s="142"/>
      <c r="AH724" s="142"/>
      <c r="AI724" s="142"/>
      <c r="AJ724" s="142"/>
      <c r="AK724" s="142"/>
      <c r="AL724" s="142"/>
      <c r="AM724" s="142"/>
      <c r="AN724" s="142"/>
      <c r="AO724" s="142"/>
      <c r="AP724" s="142"/>
      <c r="AQ724" s="142"/>
      <c r="AR724" s="142"/>
      <c r="AS724" s="142"/>
    </row>
    <row r="725" spans="1:45" s="71" customFormat="1" ht="38.25" x14ac:dyDescent="0.2">
      <c r="A725" s="30"/>
      <c r="B725" s="22">
        <v>96620</v>
      </c>
      <c r="C725" s="228" t="s">
        <v>1018</v>
      </c>
      <c r="D725" s="73" t="s">
        <v>488</v>
      </c>
      <c r="E725" s="14" t="s">
        <v>36</v>
      </c>
      <c r="F725" s="182">
        <v>0.34</v>
      </c>
      <c r="G725" s="40">
        <v>285.75</v>
      </c>
      <c r="H725" s="40">
        <f t="shared" si="81"/>
        <v>368.81</v>
      </c>
      <c r="I725" s="20">
        <f>F725*H725</f>
        <v>125.4</v>
      </c>
      <c r="J725" s="124">
        <f t="shared" si="82"/>
        <v>2.1000000000000001E-4</v>
      </c>
      <c r="K725" s="135"/>
      <c r="L725" s="92"/>
      <c r="M725" s="136"/>
      <c r="N725" s="136"/>
      <c r="O725" s="136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2"/>
      <c r="AD725" s="142"/>
      <c r="AE725" s="142"/>
      <c r="AF725" s="142"/>
      <c r="AG725" s="142"/>
      <c r="AH725" s="142"/>
      <c r="AI725" s="142"/>
      <c r="AJ725" s="142"/>
      <c r="AK725" s="142"/>
      <c r="AL725" s="142"/>
      <c r="AM725" s="142"/>
      <c r="AN725" s="142"/>
      <c r="AO725" s="142"/>
      <c r="AP725" s="142"/>
      <c r="AQ725" s="142"/>
      <c r="AR725" s="142"/>
      <c r="AS725" s="142"/>
    </row>
    <row r="726" spans="1:45" s="71" customFormat="1" ht="38.25" x14ac:dyDescent="0.2">
      <c r="A726" s="30"/>
      <c r="B726" s="22">
        <v>96620</v>
      </c>
      <c r="C726" s="228" t="s">
        <v>1019</v>
      </c>
      <c r="D726" s="73" t="s">
        <v>489</v>
      </c>
      <c r="E726" s="14" t="s">
        <v>36</v>
      </c>
      <c r="F726" s="182">
        <v>0.85</v>
      </c>
      <c r="G726" s="40">
        <v>285.75</v>
      </c>
      <c r="H726" s="40">
        <f t="shared" si="81"/>
        <v>368.81</v>
      </c>
      <c r="I726" s="20">
        <f>F726*H726</f>
        <v>313.49</v>
      </c>
      <c r="J726" s="124">
        <f t="shared" si="82"/>
        <v>5.1999999999999995E-4</v>
      </c>
      <c r="K726" s="135"/>
      <c r="L726" s="92"/>
      <c r="M726" s="136"/>
      <c r="N726" s="136"/>
      <c r="O726" s="136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2"/>
      <c r="AD726" s="142"/>
      <c r="AE726" s="142"/>
      <c r="AF726" s="142"/>
      <c r="AG726" s="142"/>
      <c r="AH726" s="142"/>
      <c r="AI726" s="142"/>
      <c r="AJ726" s="142"/>
      <c r="AK726" s="142"/>
      <c r="AL726" s="142"/>
      <c r="AM726" s="142"/>
      <c r="AN726" s="142"/>
      <c r="AO726" s="142"/>
      <c r="AP726" s="142"/>
      <c r="AQ726" s="142"/>
      <c r="AR726" s="142"/>
      <c r="AS726" s="142"/>
    </row>
    <row r="727" spans="1:45" s="71" customFormat="1" ht="102" x14ac:dyDescent="0.2">
      <c r="A727" s="30"/>
      <c r="B727" s="22">
        <v>89454</v>
      </c>
      <c r="C727" s="228" t="s">
        <v>1020</v>
      </c>
      <c r="D727" s="73" t="s">
        <v>1077</v>
      </c>
      <c r="E727" s="14" t="s">
        <v>34</v>
      </c>
      <c r="F727" s="182">
        <v>15.3</v>
      </c>
      <c r="G727" s="40">
        <v>39.130000000000003</v>
      </c>
      <c r="H727" s="40">
        <f t="shared" si="81"/>
        <v>50.5</v>
      </c>
      <c r="I727" s="20">
        <f>F727*H727</f>
        <v>772.65</v>
      </c>
      <c r="J727" s="124">
        <f t="shared" si="82"/>
        <v>1.2899999999999999E-3</v>
      </c>
      <c r="K727" s="135"/>
      <c r="L727" s="92"/>
      <c r="M727" s="136"/>
      <c r="N727" s="136"/>
      <c r="O727" s="136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2"/>
      <c r="AD727" s="142"/>
      <c r="AE727" s="142"/>
      <c r="AF727" s="142"/>
      <c r="AG727" s="142"/>
      <c r="AH727" s="142"/>
      <c r="AI727" s="142"/>
      <c r="AJ727" s="142"/>
      <c r="AK727" s="142"/>
      <c r="AL727" s="142"/>
      <c r="AM727" s="142"/>
      <c r="AN727" s="142"/>
      <c r="AO727" s="142"/>
      <c r="AP727" s="142"/>
      <c r="AQ727" s="142"/>
      <c r="AR727" s="142"/>
      <c r="AS727" s="142"/>
    </row>
    <row r="728" spans="1:45" s="71" customFormat="1" ht="102" x14ac:dyDescent="0.2">
      <c r="A728" s="30"/>
      <c r="B728" s="22">
        <v>89454</v>
      </c>
      <c r="C728" s="228" t="s">
        <v>1021</v>
      </c>
      <c r="D728" s="73" t="s">
        <v>1076</v>
      </c>
      <c r="E728" s="14" t="s">
        <v>34</v>
      </c>
      <c r="F728" s="182">
        <v>31.39</v>
      </c>
      <c r="G728" s="40">
        <v>39.130000000000003</v>
      </c>
      <c r="H728" s="40">
        <f t="shared" si="81"/>
        <v>50.5</v>
      </c>
      <c r="I728" s="20">
        <f>F728*H728</f>
        <v>1585.2</v>
      </c>
      <c r="J728" s="124">
        <f t="shared" si="82"/>
        <v>2.65E-3</v>
      </c>
      <c r="K728" s="135"/>
      <c r="L728" s="92"/>
      <c r="M728" s="136"/>
      <c r="N728" s="136"/>
      <c r="O728" s="136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2"/>
      <c r="AD728" s="142"/>
      <c r="AE728" s="142"/>
      <c r="AF728" s="142"/>
      <c r="AG728" s="142"/>
      <c r="AH728" s="142"/>
      <c r="AI728" s="142"/>
      <c r="AJ728" s="142"/>
      <c r="AK728" s="142"/>
      <c r="AL728" s="142"/>
      <c r="AM728" s="142"/>
      <c r="AN728" s="142"/>
      <c r="AO728" s="142"/>
      <c r="AP728" s="142"/>
      <c r="AQ728" s="142"/>
      <c r="AR728" s="142"/>
      <c r="AS728" s="142"/>
    </row>
    <row r="729" spans="1:45" s="71" customFormat="1" ht="38.25" x14ac:dyDescent="0.2">
      <c r="A729" s="30"/>
      <c r="B729" s="22">
        <v>95957</v>
      </c>
      <c r="C729" s="228" t="s">
        <v>1022</v>
      </c>
      <c r="D729" s="73" t="s">
        <v>1185</v>
      </c>
      <c r="E729" s="14" t="s">
        <v>36</v>
      </c>
      <c r="F729" s="182">
        <v>0.27</v>
      </c>
      <c r="G729" s="40">
        <v>1138.8499999999999</v>
      </c>
      <c r="H729" s="40">
        <f t="shared" si="81"/>
        <v>1469.91</v>
      </c>
      <c r="I729" s="20">
        <f>F729*H729</f>
        <v>396.88</v>
      </c>
      <c r="J729" s="124">
        <f t="shared" si="82"/>
        <v>6.6E-4</v>
      </c>
      <c r="K729" s="135"/>
      <c r="L729" s="92"/>
      <c r="M729" s="136"/>
      <c r="N729" s="136"/>
      <c r="O729" s="136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2"/>
      <c r="AD729" s="142"/>
      <c r="AE729" s="142"/>
      <c r="AF729" s="142"/>
      <c r="AG729" s="142"/>
      <c r="AH729" s="142"/>
      <c r="AI729" s="142"/>
      <c r="AJ729" s="142"/>
      <c r="AK729" s="142"/>
      <c r="AL729" s="142"/>
      <c r="AM729" s="142"/>
      <c r="AN729" s="142"/>
      <c r="AO729" s="142"/>
      <c r="AP729" s="142"/>
      <c r="AQ729" s="142"/>
      <c r="AR729" s="142"/>
      <c r="AS729" s="142"/>
    </row>
    <row r="730" spans="1:45" s="71" customFormat="1" ht="25.5" x14ac:dyDescent="0.2">
      <c r="A730" s="30"/>
      <c r="B730" s="22">
        <v>41613</v>
      </c>
      <c r="C730" s="228" t="s">
        <v>1023</v>
      </c>
      <c r="D730" s="73" t="s">
        <v>491</v>
      </c>
      <c r="E730" s="14" t="s">
        <v>35</v>
      </c>
      <c r="F730" s="182">
        <v>2</v>
      </c>
      <c r="G730" s="40">
        <v>42.1</v>
      </c>
      <c r="H730" s="40">
        <f t="shared" si="81"/>
        <v>54.33</v>
      </c>
      <c r="I730" s="20">
        <f>F730*H730</f>
        <v>108.66</v>
      </c>
      <c r="J730" s="124">
        <f t="shared" si="82"/>
        <v>1.8000000000000001E-4</v>
      </c>
      <c r="K730" s="135"/>
      <c r="L730" s="92"/>
      <c r="M730" s="136"/>
      <c r="N730" s="136"/>
      <c r="O730" s="136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2"/>
      <c r="AD730" s="142"/>
      <c r="AE730" s="142"/>
      <c r="AF730" s="142"/>
      <c r="AG730" s="142"/>
      <c r="AH730" s="142"/>
      <c r="AI730" s="142"/>
      <c r="AJ730" s="142"/>
      <c r="AK730" s="142"/>
      <c r="AL730" s="142"/>
      <c r="AM730" s="142"/>
      <c r="AN730" s="142"/>
      <c r="AO730" s="142"/>
      <c r="AP730" s="142"/>
      <c r="AQ730" s="142"/>
      <c r="AR730" s="142"/>
      <c r="AS730" s="142"/>
    </row>
    <row r="731" spans="1:45" s="71" customFormat="1" ht="25.5" x14ac:dyDescent="0.2">
      <c r="A731" s="30"/>
      <c r="B731" s="22">
        <v>4723</v>
      </c>
      <c r="C731" s="228" t="s">
        <v>1024</v>
      </c>
      <c r="D731" s="73" t="s">
        <v>497</v>
      </c>
      <c r="E731" s="14" t="s">
        <v>36</v>
      </c>
      <c r="F731" s="182">
        <v>0.66</v>
      </c>
      <c r="G731" s="40">
        <v>38.35</v>
      </c>
      <c r="H731" s="40">
        <f t="shared" si="81"/>
        <v>49.49</v>
      </c>
      <c r="I731" s="20">
        <f>F731*H731</f>
        <v>32.659999999999997</v>
      </c>
      <c r="J731" s="124">
        <f t="shared" si="82"/>
        <v>5.0000000000000002E-5</v>
      </c>
      <c r="K731" s="135"/>
      <c r="L731" s="92"/>
      <c r="M731" s="136"/>
      <c r="N731" s="136"/>
      <c r="O731" s="136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2"/>
      <c r="AD731" s="142"/>
      <c r="AE731" s="142"/>
      <c r="AF731" s="142"/>
      <c r="AG731" s="142"/>
      <c r="AH731" s="142"/>
      <c r="AI731" s="142"/>
      <c r="AJ731" s="142"/>
      <c r="AK731" s="142"/>
      <c r="AL731" s="142"/>
      <c r="AM731" s="142"/>
      <c r="AN731" s="142"/>
      <c r="AO731" s="142"/>
      <c r="AP731" s="142"/>
      <c r="AQ731" s="142"/>
      <c r="AR731" s="142"/>
      <c r="AS731" s="142"/>
    </row>
    <row r="732" spans="1:45" s="71" customFormat="1" ht="51" x14ac:dyDescent="0.2">
      <c r="A732" s="30"/>
      <c r="B732" s="22">
        <v>96620</v>
      </c>
      <c r="C732" s="228" t="s">
        <v>1025</v>
      </c>
      <c r="D732" s="73" t="s">
        <v>495</v>
      </c>
      <c r="E732" s="14" t="s">
        <v>36</v>
      </c>
      <c r="F732" s="182">
        <v>0.06</v>
      </c>
      <c r="G732" s="40">
        <v>285.75</v>
      </c>
      <c r="H732" s="40">
        <f t="shared" si="81"/>
        <v>368.81</v>
      </c>
      <c r="I732" s="20">
        <f>F732*H732</f>
        <v>22.13</v>
      </c>
      <c r="J732" s="124">
        <f t="shared" si="82"/>
        <v>4.0000000000000003E-5</v>
      </c>
      <c r="K732" s="135"/>
      <c r="L732" s="92"/>
      <c r="M732" s="136"/>
      <c r="N732" s="136"/>
      <c r="O732" s="136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2"/>
      <c r="AD732" s="142"/>
      <c r="AE732" s="142"/>
      <c r="AF732" s="142"/>
      <c r="AG732" s="142"/>
      <c r="AH732" s="142"/>
      <c r="AI732" s="142"/>
      <c r="AJ732" s="142"/>
      <c r="AK732" s="142"/>
      <c r="AL732" s="142"/>
      <c r="AM732" s="142"/>
      <c r="AN732" s="142"/>
      <c r="AO732" s="142"/>
      <c r="AP732" s="142"/>
      <c r="AQ732" s="142"/>
      <c r="AR732" s="142"/>
      <c r="AS732" s="142"/>
    </row>
    <row r="733" spans="1:45" s="71" customFormat="1" ht="38.25" x14ac:dyDescent="0.2">
      <c r="A733" s="30"/>
      <c r="B733" s="22">
        <v>95957</v>
      </c>
      <c r="C733" s="228" t="s">
        <v>1026</v>
      </c>
      <c r="D733" s="73" t="s">
        <v>1184</v>
      </c>
      <c r="E733" s="14" t="s">
        <v>36</v>
      </c>
      <c r="F733" s="182">
        <v>0.7</v>
      </c>
      <c r="G733" s="40">
        <v>1138.8499999999999</v>
      </c>
      <c r="H733" s="40">
        <f t="shared" si="81"/>
        <v>1469.91</v>
      </c>
      <c r="I733" s="20">
        <f>F733*H733</f>
        <v>1028.94</v>
      </c>
      <c r="J733" s="124">
        <f t="shared" si="82"/>
        <v>1.72E-3</v>
      </c>
      <c r="K733" s="135"/>
      <c r="L733" s="92"/>
      <c r="M733" s="136"/>
      <c r="N733" s="136"/>
      <c r="O733" s="136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2"/>
      <c r="AD733" s="142"/>
      <c r="AE733" s="142"/>
      <c r="AF733" s="142"/>
      <c r="AG733" s="142"/>
      <c r="AH733" s="142"/>
      <c r="AI733" s="142"/>
      <c r="AJ733" s="142"/>
      <c r="AK733" s="142"/>
      <c r="AL733" s="142"/>
      <c r="AM733" s="142"/>
      <c r="AN733" s="142"/>
      <c r="AO733" s="142"/>
      <c r="AP733" s="142"/>
      <c r="AQ733" s="142"/>
      <c r="AR733" s="142"/>
      <c r="AS733" s="142"/>
    </row>
    <row r="734" spans="1:45" s="71" customFormat="1" ht="25.5" x14ac:dyDescent="0.2">
      <c r="A734" s="30"/>
      <c r="B734" s="22">
        <v>41613</v>
      </c>
      <c r="C734" s="228" t="s">
        <v>1027</v>
      </c>
      <c r="D734" s="73" t="s">
        <v>492</v>
      </c>
      <c r="E734" s="14" t="s">
        <v>35</v>
      </c>
      <c r="F734" s="182">
        <v>4</v>
      </c>
      <c r="G734" s="40">
        <v>42.1</v>
      </c>
      <c r="H734" s="40">
        <f t="shared" si="81"/>
        <v>54.33</v>
      </c>
      <c r="I734" s="20">
        <f>F734*H734</f>
        <v>217.32</v>
      </c>
      <c r="J734" s="124">
        <f t="shared" si="82"/>
        <v>3.6000000000000002E-4</v>
      </c>
      <c r="K734" s="135"/>
      <c r="L734" s="92"/>
      <c r="M734" s="136"/>
      <c r="N734" s="136"/>
      <c r="O734" s="136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2"/>
      <c r="AD734" s="142"/>
      <c r="AE734" s="142"/>
      <c r="AF734" s="142"/>
      <c r="AG734" s="142"/>
      <c r="AH734" s="142"/>
      <c r="AI734" s="142"/>
      <c r="AJ734" s="142"/>
      <c r="AK734" s="142"/>
      <c r="AL734" s="142"/>
      <c r="AM734" s="142"/>
      <c r="AN734" s="142"/>
      <c r="AO734" s="142"/>
      <c r="AP734" s="142"/>
      <c r="AQ734" s="142"/>
      <c r="AR734" s="142"/>
      <c r="AS734" s="142"/>
    </row>
    <row r="735" spans="1:45" s="71" customFormat="1" ht="25.5" x14ac:dyDescent="0.2">
      <c r="A735" s="30"/>
      <c r="B735" s="22">
        <v>4723</v>
      </c>
      <c r="C735" s="228" t="s">
        <v>1028</v>
      </c>
      <c r="D735" s="73" t="s">
        <v>498</v>
      </c>
      <c r="E735" s="14" t="s">
        <v>36</v>
      </c>
      <c r="F735" s="182">
        <v>3.24</v>
      </c>
      <c r="G735" s="40">
        <v>38.35</v>
      </c>
      <c r="H735" s="40">
        <f t="shared" si="81"/>
        <v>49.49</v>
      </c>
      <c r="I735" s="20">
        <f>F735*H735</f>
        <v>160.35</v>
      </c>
      <c r="J735" s="124">
        <f t="shared" si="82"/>
        <v>2.7E-4</v>
      </c>
      <c r="K735" s="135"/>
      <c r="L735" s="92"/>
      <c r="M735" s="136"/>
      <c r="N735" s="136"/>
      <c r="O735" s="136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2"/>
      <c r="AD735" s="142"/>
      <c r="AE735" s="142"/>
      <c r="AF735" s="142"/>
      <c r="AG735" s="142"/>
      <c r="AH735" s="142"/>
      <c r="AI735" s="142"/>
      <c r="AJ735" s="142"/>
      <c r="AK735" s="142"/>
      <c r="AL735" s="142"/>
      <c r="AM735" s="142"/>
      <c r="AN735" s="142"/>
      <c r="AO735" s="142"/>
      <c r="AP735" s="142"/>
      <c r="AQ735" s="142"/>
      <c r="AR735" s="142"/>
      <c r="AS735" s="142"/>
    </row>
    <row r="736" spans="1:45" s="71" customFormat="1" ht="51" x14ac:dyDescent="0.2">
      <c r="A736" s="30"/>
      <c r="B736" s="22">
        <v>96620</v>
      </c>
      <c r="C736" s="228" t="s">
        <v>1029</v>
      </c>
      <c r="D736" s="73" t="s">
        <v>496</v>
      </c>
      <c r="E736" s="14" t="s">
        <v>36</v>
      </c>
      <c r="F736" s="182">
        <v>0.2</v>
      </c>
      <c r="G736" s="40">
        <v>285.75</v>
      </c>
      <c r="H736" s="40">
        <f t="shared" si="81"/>
        <v>368.81</v>
      </c>
      <c r="I736" s="20">
        <f>F736*H736</f>
        <v>73.760000000000005</v>
      </c>
      <c r="J736" s="124">
        <f t="shared" si="82"/>
        <v>1.2E-4</v>
      </c>
      <c r="K736" s="135"/>
      <c r="L736" s="92"/>
      <c r="M736" s="136"/>
      <c r="N736" s="136"/>
      <c r="O736" s="136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2"/>
      <c r="AD736" s="142"/>
      <c r="AE736" s="142"/>
      <c r="AF736" s="142"/>
      <c r="AG736" s="142"/>
      <c r="AH736" s="142"/>
      <c r="AI736" s="142"/>
      <c r="AJ736" s="142"/>
      <c r="AK736" s="142"/>
      <c r="AL736" s="142"/>
      <c r="AM736" s="142"/>
      <c r="AN736" s="142"/>
      <c r="AO736" s="142"/>
      <c r="AP736" s="142"/>
      <c r="AQ736" s="142"/>
      <c r="AR736" s="142"/>
      <c r="AS736" s="142"/>
    </row>
    <row r="737" spans="1:45" s="71" customFormat="1" x14ac:dyDescent="0.2">
      <c r="A737" s="30"/>
      <c r="B737" s="22"/>
      <c r="C737" s="218"/>
      <c r="D737" s="325" t="s">
        <v>487</v>
      </c>
      <c r="E737" s="325"/>
      <c r="F737" s="325"/>
      <c r="G737" s="325"/>
      <c r="H737" s="326"/>
      <c r="I737" s="110">
        <f>SUM(I724:I736)</f>
        <v>6173.41</v>
      </c>
      <c r="J737" s="124"/>
      <c r="K737" s="135"/>
      <c r="L737" s="92"/>
      <c r="M737" s="136"/>
      <c r="N737" s="136"/>
      <c r="O737" s="136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2"/>
      <c r="AD737" s="142"/>
      <c r="AE737" s="142"/>
      <c r="AF737" s="142"/>
      <c r="AG737" s="142"/>
      <c r="AH737" s="142"/>
      <c r="AI737" s="142"/>
      <c r="AJ737" s="142"/>
      <c r="AK737" s="142"/>
      <c r="AL737" s="142"/>
      <c r="AM737" s="142"/>
      <c r="AN737" s="142"/>
      <c r="AO737" s="142"/>
      <c r="AP737" s="142"/>
      <c r="AQ737" s="142"/>
      <c r="AR737" s="142"/>
      <c r="AS737" s="142"/>
    </row>
    <row r="738" spans="1:45" s="71" customFormat="1" x14ac:dyDescent="0.2">
      <c r="A738" s="30"/>
      <c r="B738" s="22"/>
      <c r="C738" s="246"/>
      <c r="D738" s="77"/>
      <c r="E738" s="174"/>
      <c r="F738" s="174"/>
      <c r="G738" s="290"/>
      <c r="H738" s="224" t="s">
        <v>485</v>
      </c>
      <c r="I738" s="60">
        <f>SUM(I722,I737)</f>
        <v>10120.08</v>
      </c>
      <c r="J738" s="123">
        <f>I738/$I$838</f>
        <v>1.6920000000000001E-2</v>
      </c>
      <c r="K738" s="135"/>
      <c r="L738" s="92"/>
      <c r="M738" s="136"/>
      <c r="N738" s="136"/>
      <c r="O738" s="136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2"/>
      <c r="AD738" s="142"/>
      <c r="AE738" s="142"/>
      <c r="AF738" s="142"/>
      <c r="AG738" s="142"/>
      <c r="AH738" s="142"/>
      <c r="AI738" s="142"/>
      <c r="AJ738" s="142"/>
      <c r="AK738" s="142"/>
      <c r="AL738" s="142"/>
      <c r="AM738" s="142"/>
      <c r="AN738" s="142"/>
      <c r="AO738" s="142"/>
      <c r="AP738" s="142"/>
      <c r="AQ738" s="142"/>
      <c r="AR738" s="142"/>
      <c r="AS738" s="142"/>
    </row>
    <row r="739" spans="1:45" s="71" customFormat="1" ht="13.5" thickBot="1" x14ac:dyDescent="0.25">
      <c r="A739" s="30"/>
      <c r="B739" s="22"/>
      <c r="C739" s="88"/>
      <c r="D739" s="88"/>
      <c r="E739" s="88"/>
      <c r="F739" s="88"/>
      <c r="G739" s="88"/>
      <c r="H739" s="88"/>
      <c r="I739" s="103"/>
      <c r="J739" s="47"/>
      <c r="K739" s="135"/>
      <c r="L739" s="92"/>
      <c r="M739" s="136"/>
      <c r="N739" s="136"/>
      <c r="O739" s="136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2"/>
      <c r="AD739" s="142"/>
      <c r="AE739" s="142"/>
      <c r="AF739" s="142"/>
      <c r="AG739" s="142"/>
      <c r="AH739" s="142"/>
      <c r="AI739" s="142"/>
      <c r="AJ739" s="142"/>
      <c r="AK739" s="142"/>
      <c r="AL739" s="142"/>
      <c r="AM739" s="142"/>
      <c r="AN739" s="142"/>
      <c r="AO739" s="142"/>
      <c r="AP739" s="142"/>
      <c r="AQ739" s="142"/>
      <c r="AR739" s="142"/>
      <c r="AS739" s="142"/>
    </row>
    <row r="740" spans="1:45" s="32" customFormat="1" ht="13.5" thickBot="1" x14ac:dyDescent="0.25">
      <c r="A740" s="30"/>
      <c r="B740" s="22"/>
      <c r="C740" s="221" t="s">
        <v>50</v>
      </c>
      <c r="D740" s="318" t="s">
        <v>111</v>
      </c>
      <c r="E740" s="319"/>
      <c r="F740" s="319"/>
      <c r="G740" s="319"/>
      <c r="H740" s="319"/>
      <c r="I740" s="320"/>
      <c r="J740" s="49"/>
      <c r="K740" s="133"/>
      <c r="L740" s="92"/>
      <c r="M740" s="136"/>
      <c r="N740" s="136"/>
      <c r="O740" s="136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  <c r="AN740" s="95"/>
      <c r="AO740" s="95"/>
      <c r="AP740" s="95"/>
      <c r="AQ740" s="95"/>
      <c r="AR740" s="95"/>
      <c r="AS740" s="95"/>
    </row>
    <row r="741" spans="1:45" s="32" customFormat="1" x14ac:dyDescent="0.2">
      <c r="A741" s="30"/>
      <c r="B741" s="22"/>
      <c r="C741" s="229" t="s">
        <v>93</v>
      </c>
      <c r="D741" s="128" t="s">
        <v>465</v>
      </c>
      <c r="E741" s="56"/>
      <c r="F741" s="180"/>
      <c r="G741" s="57"/>
      <c r="H741" s="57"/>
      <c r="I741" s="58"/>
      <c r="J741" s="222"/>
      <c r="K741" s="133"/>
      <c r="L741" s="92"/>
      <c r="M741" s="136"/>
      <c r="N741" s="136"/>
      <c r="O741" s="136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  <c r="AN741" s="95"/>
      <c r="AO741" s="95"/>
      <c r="AP741" s="95"/>
      <c r="AQ741" s="95"/>
      <c r="AR741" s="95"/>
      <c r="AS741" s="95"/>
    </row>
    <row r="742" spans="1:45" s="32" customFormat="1" ht="25.5" x14ac:dyDescent="0.2">
      <c r="A742" s="30"/>
      <c r="B742" s="22">
        <v>94327</v>
      </c>
      <c r="C742" s="218" t="s">
        <v>1030</v>
      </c>
      <c r="D742" s="13" t="s">
        <v>470</v>
      </c>
      <c r="E742" s="21" t="s">
        <v>36</v>
      </c>
      <c r="F742" s="179">
        <v>6</v>
      </c>
      <c r="G742" s="40">
        <v>55.86</v>
      </c>
      <c r="H742" s="40">
        <f t="shared" ref="H742" si="83">TRUNC((G742*(1+$I$6)),2)</f>
        <v>72.09</v>
      </c>
      <c r="I742" s="20">
        <f>F742*H742</f>
        <v>432.54</v>
      </c>
      <c r="J742" s="124">
        <f>I742/$I$838</f>
        <v>7.2000000000000005E-4</v>
      </c>
      <c r="K742" s="133"/>
      <c r="L742" s="92"/>
      <c r="M742" s="136"/>
      <c r="N742" s="136"/>
      <c r="O742" s="136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  <c r="AN742" s="95"/>
      <c r="AO742" s="95"/>
      <c r="AP742" s="95"/>
      <c r="AQ742" s="95"/>
      <c r="AR742" s="95"/>
      <c r="AS742" s="95"/>
    </row>
    <row r="743" spans="1:45" s="32" customFormat="1" x14ac:dyDescent="0.2">
      <c r="A743" s="30"/>
      <c r="B743" s="22"/>
      <c r="C743" s="218"/>
      <c r="D743" s="325" t="s">
        <v>466</v>
      </c>
      <c r="E743" s="325"/>
      <c r="F743" s="325"/>
      <c r="G743" s="325"/>
      <c r="H743" s="326"/>
      <c r="I743" s="110">
        <f>SUM(I742)</f>
        <v>432.54</v>
      </c>
      <c r="J743" s="124"/>
      <c r="K743" s="133"/>
      <c r="L743" s="92"/>
      <c r="M743" s="136"/>
      <c r="N743" s="136"/>
      <c r="O743" s="136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  <c r="AN743" s="95"/>
      <c r="AO743" s="95"/>
      <c r="AP743" s="95"/>
      <c r="AQ743" s="95"/>
      <c r="AR743" s="95"/>
      <c r="AS743" s="95"/>
    </row>
    <row r="744" spans="1:45" s="32" customFormat="1" x14ac:dyDescent="0.2">
      <c r="A744" s="30"/>
      <c r="B744" s="22"/>
      <c r="C744" s="229" t="s">
        <v>463</v>
      </c>
      <c r="D744" s="128" t="s">
        <v>480</v>
      </c>
      <c r="E744" s="56"/>
      <c r="F744" s="180"/>
      <c r="G744" s="57"/>
      <c r="H744" s="57"/>
      <c r="I744" s="58"/>
      <c r="J744" s="124"/>
      <c r="K744" s="133"/>
      <c r="L744" s="92"/>
      <c r="M744" s="136"/>
      <c r="N744" s="136"/>
      <c r="O744" s="136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  <c r="AN744" s="95"/>
      <c r="AO744" s="95"/>
      <c r="AP744" s="95"/>
      <c r="AQ744" s="95"/>
      <c r="AR744" s="95"/>
      <c r="AS744" s="95"/>
    </row>
    <row r="745" spans="1:45" s="32" customFormat="1" ht="51" x14ac:dyDescent="0.2">
      <c r="A745" s="30"/>
      <c r="B745" s="22">
        <v>87620</v>
      </c>
      <c r="C745" s="218" t="s">
        <v>1031</v>
      </c>
      <c r="D745" s="12" t="s">
        <v>163</v>
      </c>
      <c r="E745" s="21" t="s">
        <v>34</v>
      </c>
      <c r="F745" s="179">
        <v>5.12</v>
      </c>
      <c r="G745" s="40">
        <v>16.73</v>
      </c>
      <c r="H745" s="40">
        <f t="shared" ref="H745:H746" si="84">TRUNC((G745*(1+$I$6)),2)</f>
        <v>21.59</v>
      </c>
      <c r="I745" s="20">
        <f>F745*H745</f>
        <v>110.54</v>
      </c>
      <c r="J745" s="124">
        <f>I745/$I$838</f>
        <v>1.8000000000000001E-4</v>
      </c>
      <c r="K745" s="133"/>
      <c r="L745" s="92"/>
      <c r="M745" s="136"/>
      <c r="N745" s="136"/>
      <c r="O745" s="136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  <c r="AN745" s="95"/>
      <c r="AO745" s="95"/>
      <c r="AP745" s="95"/>
      <c r="AQ745" s="95"/>
      <c r="AR745" s="95"/>
      <c r="AS745" s="95"/>
    </row>
    <row r="746" spans="1:45" s="32" customFormat="1" ht="51" x14ac:dyDescent="0.2">
      <c r="A746" s="30"/>
      <c r="B746" s="22">
        <v>87251</v>
      </c>
      <c r="C746" s="218" t="s">
        <v>1032</v>
      </c>
      <c r="D746" s="11" t="s">
        <v>1209</v>
      </c>
      <c r="E746" s="21" t="s">
        <v>34</v>
      </c>
      <c r="F746" s="179">
        <v>5.12</v>
      </c>
      <c r="G746" s="40">
        <v>22.44</v>
      </c>
      <c r="H746" s="40">
        <f t="shared" si="84"/>
        <v>28.96</v>
      </c>
      <c r="I746" s="20">
        <f>F746*H746</f>
        <v>148.28</v>
      </c>
      <c r="J746" s="124">
        <f>I746/$I$838</f>
        <v>2.5000000000000001E-4</v>
      </c>
      <c r="K746" s="133"/>
      <c r="L746" s="92"/>
      <c r="M746" s="136"/>
      <c r="N746" s="136"/>
      <c r="O746" s="136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  <c r="AN746" s="95"/>
      <c r="AO746" s="95"/>
      <c r="AP746" s="95"/>
      <c r="AQ746" s="95"/>
      <c r="AR746" s="95"/>
      <c r="AS746" s="95"/>
    </row>
    <row r="747" spans="1:45" s="32" customFormat="1" x14ac:dyDescent="0.2">
      <c r="A747" s="30"/>
      <c r="B747" s="22"/>
      <c r="C747" s="218"/>
      <c r="D747" s="325" t="s">
        <v>467</v>
      </c>
      <c r="E747" s="325"/>
      <c r="F747" s="325"/>
      <c r="G747" s="325"/>
      <c r="H747" s="326"/>
      <c r="I747" s="110">
        <f>SUM(I745:I746)</f>
        <v>258.82</v>
      </c>
      <c r="J747" s="124"/>
      <c r="K747" s="133"/>
      <c r="L747" s="92"/>
      <c r="M747" s="136"/>
      <c r="N747" s="136"/>
      <c r="O747" s="136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  <c r="AN747" s="95"/>
      <c r="AO747" s="95"/>
      <c r="AP747" s="95"/>
      <c r="AQ747" s="95"/>
      <c r="AR747" s="95"/>
      <c r="AS747" s="95"/>
    </row>
    <row r="748" spans="1:45" s="32" customFormat="1" x14ac:dyDescent="0.2">
      <c r="A748" s="30"/>
      <c r="B748" s="22"/>
      <c r="C748" s="229" t="s">
        <v>94</v>
      </c>
      <c r="D748" s="128" t="s">
        <v>464</v>
      </c>
      <c r="E748" s="56"/>
      <c r="F748" s="180"/>
      <c r="G748" s="57"/>
      <c r="H748" s="57"/>
      <c r="I748" s="58"/>
      <c r="J748" s="124"/>
      <c r="K748" s="133"/>
      <c r="L748" s="92"/>
      <c r="M748" s="136"/>
      <c r="N748" s="136"/>
      <c r="O748" s="136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  <c r="AN748" s="95"/>
      <c r="AO748" s="95"/>
      <c r="AP748" s="95"/>
      <c r="AQ748" s="95"/>
      <c r="AR748" s="95"/>
      <c r="AS748" s="95"/>
    </row>
    <row r="749" spans="1:45" s="32" customFormat="1" x14ac:dyDescent="0.2">
      <c r="A749" s="30"/>
      <c r="B749" s="22">
        <v>94319</v>
      </c>
      <c r="C749" s="218" t="s">
        <v>1091</v>
      </c>
      <c r="D749" s="217" t="s">
        <v>517</v>
      </c>
      <c r="E749" s="21" t="s">
        <v>36</v>
      </c>
      <c r="F749" s="179">
        <v>3.67</v>
      </c>
      <c r="G749" s="40">
        <v>21.94</v>
      </c>
      <c r="H749" s="40">
        <f t="shared" ref="H749:H764" si="85">TRUNC((G749*(1+$I$6)),2)</f>
        <v>28.31</v>
      </c>
      <c r="I749" s="20">
        <f>F749*H749</f>
        <v>103.9</v>
      </c>
      <c r="J749" s="124">
        <f t="shared" ref="J749:J756" si="86">I749/$I$838</f>
        <v>1.7000000000000001E-4</v>
      </c>
      <c r="K749" s="133"/>
      <c r="L749" s="92"/>
      <c r="M749" s="136"/>
      <c r="N749" s="136"/>
      <c r="O749" s="136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  <c r="AN749" s="95"/>
      <c r="AO749" s="95"/>
      <c r="AP749" s="95"/>
      <c r="AQ749" s="95"/>
      <c r="AR749" s="95"/>
      <c r="AS749" s="95"/>
    </row>
    <row r="750" spans="1:45" s="32" customFormat="1" ht="25.5" x14ac:dyDescent="0.2">
      <c r="A750" s="30"/>
      <c r="B750" s="22">
        <v>96624</v>
      </c>
      <c r="C750" s="218" t="s">
        <v>1099</v>
      </c>
      <c r="D750" s="12" t="s">
        <v>38</v>
      </c>
      <c r="E750" s="21" t="s">
        <v>36</v>
      </c>
      <c r="F750" s="179">
        <v>9.9700000000000006</v>
      </c>
      <c r="G750" s="40">
        <v>63.2</v>
      </c>
      <c r="H750" s="40">
        <f t="shared" si="85"/>
        <v>81.569999999999993</v>
      </c>
      <c r="I750" s="20">
        <f>F750*H750</f>
        <v>813.25</v>
      </c>
      <c r="J750" s="124">
        <f t="shared" si="86"/>
        <v>1.3600000000000001E-3</v>
      </c>
      <c r="K750" s="133"/>
      <c r="L750" s="92"/>
      <c r="M750" s="136"/>
      <c r="N750" s="136"/>
      <c r="O750" s="136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  <c r="AN750" s="95"/>
      <c r="AO750" s="95"/>
      <c r="AP750" s="95"/>
      <c r="AQ750" s="95"/>
      <c r="AR750" s="95"/>
      <c r="AS750" s="95"/>
    </row>
    <row r="751" spans="1:45" s="32" customFormat="1" ht="38.25" x14ac:dyDescent="0.2">
      <c r="A751" s="30"/>
      <c r="B751" s="22" t="s">
        <v>1232</v>
      </c>
      <c r="C751" s="218" t="s">
        <v>1100</v>
      </c>
      <c r="D751" s="13" t="s">
        <v>516</v>
      </c>
      <c r="E751" s="21" t="s">
        <v>34</v>
      </c>
      <c r="F751" s="179">
        <v>78.2</v>
      </c>
      <c r="G751" s="40">
        <v>9.74</v>
      </c>
      <c r="H751" s="40">
        <f t="shared" si="85"/>
        <v>12.57</v>
      </c>
      <c r="I751" s="20">
        <f>F751*H751</f>
        <v>982.97</v>
      </c>
      <c r="J751" s="124">
        <f t="shared" si="86"/>
        <v>1.64E-3</v>
      </c>
      <c r="K751" s="133"/>
      <c r="L751" s="92"/>
      <c r="M751" s="136"/>
      <c r="N751" s="136"/>
      <c r="O751" s="136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  <c r="AN751" s="95"/>
      <c r="AO751" s="95"/>
      <c r="AP751" s="95"/>
      <c r="AQ751" s="95"/>
      <c r="AR751" s="95"/>
      <c r="AS751" s="95"/>
    </row>
    <row r="752" spans="1:45" s="32" customFormat="1" ht="38.25" x14ac:dyDescent="0.2">
      <c r="A752" s="30"/>
      <c r="B752" s="22">
        <v>94991</v>
      </c>
      <c r="C752" s="218" t="s">
        <v>1101</v>
      </c>
      <c r="D752" s="13" t="s">
        <v>119</v>
      </c>
      <c r="E752" s="21" t="s">
        <v>36</v>
      </c>
      <c r="F752" s="179">
        <v>13.96</v>
      </c>
      <c r="G752" s="40">
        <v>326.01</v>
      </c>
      <c r="H752" s="40">
        <f t="shared" si="85"/>
        <v>420.78</v>
      </c>
      <c r="I752" s="20">
        <f>F752*H752</f>
        <v>5874.09</v>
      </c>
      <c r="J752" s="124">
        <f t="shared" si="86"/>
        <v>9.8200000000000006E-3</v>
      </c>
      <c r="K752" s="133"/>
      <c r="L752" s="92"/>
      <c r="M752" s="136"/>
      <c r="N752" s="136"/>
      <c r="O752" s="136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</row>
    <row r="753" spans="1:45" s="32" customFormat="1" ht="38.25" x14ac:dyDescent="0.2">
      <c r="A753" s="30"/>
      <c r="B753" s="22">
        <v>95957</v>
      </c>
      <c r="C753" s="218" t="s">
        <v>1102</v>
      </c>
      <c r="D753" s="13" t="s">
        <v>518</v>
      </c>
      <c r="E753" s="21" t="s">
        <v>36</v>
      </c>
      <c r="F753" s="179">
        <v>0.73</v>
      </c>
      <c r="G753" s="40">
        <v>1138.8499999999999</v>
      </c>
      <c r="H753" s="40">
        <f t="shared" si="85"/>
        <v>1469.91</v>
      </c>
      <c r="I753" s="20">
        <f>F753*H753</f>
        <v>1073.03</v>
      </c>
      <c r="J753" s="124">
        <f t="shared" si="86"/>
        <v>1.7899999999999999E-3</v>
      </c>
      <c r="K753" s="133"/>
      <c r="L753" s="92"/>
      <c r="M753" s="136"/>
      <c r="N753" s="136"/>
      <c r="O753" s="136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</row>
    <row r="754" spans="1:45" s="32" customFormat="1" ht="25.5" x14ac:dyDescent="0.2">
      <c r="A754" s="30"/>
      <c r="B754" s="22" t="s">
        <v>1205</v>
      </c>
      <c r="C754" s="218" t="s">
        <v>1103</v>
      </c>
      <c r="D754" s="13" t="s">
        <v>1206</v>
      </c>
      <c r="E754" s="21" t="s">
        <v>34</v>
      </c>
      <c r="F754" s="179">
        <v>205</v>
      </c>
      <c r="G754" s="40">
        <v>8.52</v>
      </c>
      <c r="H754" s="40">
        <f t="shared" si="85"/>
        <v>10.99</v>
      </c>
      <c r="I754" s="20">
        <f>F754*H754</f>
        <v>2252.9499999999998</v>
      </c>
      <c r="J754" s="124">
        <f t="shared" si="86"/>
        <v>3.7699999999999999E-3</v>
      </c>
      <c r="K754" s="133"/>
      <c r="L754" s="92"/>
      <c r="M754" s="136"/>
      <c r="N754" s="136"/>
      <c r="O754" s="136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</row>
    <row r="755" spans="1:45" s="32" customFormat="1" ht="63.75" x14ac:dyDescent="0.2">
      <c r="A755" s="30"/>
      <c r="B755" s="22">
        <v>99837</v>
      </c>
      <c r="C755" s="218" t="s">
        <v>1104</v>
      </c>
      <c r="D755" s="13" t="s">
        <v>1181</v>
      </c>
      <c r="E755" s="21" t="s">
        <v>37</v>
      </c>
      <c r="F755" s="179">
        <v>16.7</v>
      </c>
      <c r="G755" s="40">
        <v>325.83</v>
      </c>
      <c r="H755" s="40">
        <f t="shared" si="85"/>
        <v>420.54</v>
      </c>
      <c r="I755" s="20">
        <f>F755*H755</f>
        <v>7023.02</v>
      </c>
      <c r="J755" s="124">
        <f t="shared" si="86"/>
        <v>1.174E-2</v>
      </c>
      <c r="K755" s="133"/>
      <c r="L755" s="92"/>
      <c r="M755" s="136"/>
      <c r="N755" s="136"/>
      <c r="O755" s="136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</row>
    <row r="756" spans="1:45" s="32" customFormat="1" ht="25.5" x14ac:dyDescent="0.2">
      <c r="A756" s="30"/>
      <c r="B756" s="22">
        <v>99855</v>
      </c>
      <c r="C756" s="218" t="s">
        <v>1105</v>
      </c>
      <c r="D756" s="13" t="s">
        <v>1182</v>
      </c>
      <c r="E756" s="21" t="s">
        <v>37</v>
      </c>
      <c r="F756" s="179">
        <f>F755*2</f>
        <v>33.4</v>
      </c>
      <c r="G756" s="40">
        <v>58.92</v>
      </c>
      <c r="H756" s="40">
        <f t="shared" si="85"/>
        <v>76.040000000000006</v>
      </c>
      <c r="I756" s="20">
        <f>F756*H756</f>
        <v>2539.7399999999998</v>
      </c>
      <c r="J756" s="124">
        <f t="shared" si="86"/>
        <v>4.2500000000000003E-3</v>
      </c>
      <c r="K756" s="133"/>
      <c r="L756" s="92"/>
      <c r="M756" s="136"/>
      <c r="N756" s="136"/>
      <c r="O756" s="136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</row>
    <row r="757" spans="1:45" s="32" customFormat="1" ht="38.25" x14ac:dyDescent="0.2">
      <c r="A757" s="30"/>
      <c r="B757" s="22">
        <v>100721</v>
      </c>
      <c r="C757" s="218" t="s">
        <v>1106</v>
      </c>
      <c r="D757" s="13" t="s">
        <v>1092</v>
      </c>
      <c r="E757" s="21" t="s">
        <v>34</v>
      </c>
      <c r="F757" s="179">
        <v>6</v>
      </c>
      <c r="G757" s="40">
        <v>11.51</v>
      </c>
      <c r="H757" s="40">
        <f t="shared" si="85"/>
        <v>14.85</v>
      </c>
      <c r="I757" s="20">
        <f>F757*H757</f>
        <v>89.1</v>
      </c>
      <c r="J757" s="124">
        <f t="shared" ref="J757:J764" si="87">I757/$I$838</f>
        <v>1.4999999999999999E-4</v>
      </c>
      <c r="K757" s="133"/>
      <c r="L757" s="92"/>
      <c r="M757" s="136"/>
      <c r="N757" s="136"/>
      <c r="O757" s="136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</row>
    <row r="758" spans="1:45" s="32" customFormat="1" ht="38.25" x14ac:dyDescent="0.2">
      <c r="A758" s="30"/>
      <c r="B758" s="22">
        <v>100741</v>
      </c>
      <c r="C758" s="218" t="s">
        <v>1107</v>
      </c>
      <c r="D758" s="13" t="s">
        <v>1093</v>
      </c>
      <c r="E758" s="21" t="s">
        <v>34</v>
      </c>
      <c r="F758" s="179">
        <v>12</v>
      </c>
      <c r="G758" s="40">
        <v>11.34</v>
      </c>
      <c r="H758" s="40">
        <f t="shared" si="85"/>
        <v>14.63</v>
      </c>
      <c r="I758" s="20">
        <f>F758*H758</f>
        <v>175.56</v>
      </c>
      <c r="J758" s="124">
        <f t="shared" si="87"/>
        <v>2.9E-4</v>
      </c>
      <c r="K758" s="133"/>
      <c r="L758" s="92"/>
      <c r="M758" s="136"/>
      <c r="N758" s="136"/>
      <c r="O758" s="136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</row>
    <row r="759" spans="1:45" s="32" customFormat="1" ht="51" x14ac:dyDescent="0.2">
      <c r="A759" s="30"/>
      <c r="B759" s="22" t="s">
        <v>1237</v>
      </c>
      <c r="C759" s="218" t="s">
        <v>1108</v>
      </c>
      <c r="D759" s="13" t="s">
        <v>1096</v>
      </c>
      <c r="E759" s="21" t="s">
        <v>34</v>
      </c>
      <c r="F759" s="179">
        <v>7.75</v>
      </c>
      <c r="G759" s="40">
        <v>249.27</v>
      </c>
      <c r="H759" s="40">
        <f t="shared" si="85"/>
        <v>321.73</v>
      </c>
      <c r="I759" s="20">
        <f>F759*H759</f>
        <v>2493.41</v>
      </c>
      <c r="J759" s="124">
        <f t="shared" si="87"/>
        <v>4.1700000000000001E-3</v>
      </c>
      <c r="K759" s="133"/>
      <c r="L759" s="92"/>
      <c r="M759" s="136"/>
      <c r="N759" s="136"/>
      <c r="O759" s="136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</row>
    <row r="760" spans="1:45" s="32" customFormat="1" ht="38.25" x14ac:dyDescent="0.2">
      <c r="A760" s="30"/>
      <c r="B760" s="22">
        <v>100721</v>
      </c>
      <c r="C760" s="218" t="s">
        <v>1109</v>
      </c>
      <c r="D760" s="13" t="s">
        <v>1092</v>
      </c>
      <c r="E760" s="21" t="s">
        <v>34</v>
      </c>
      <c r="F760" s="179">
        <v>4</v>
      </c>
      <c r="G760" s="40">
        <v>11.51</v>
      </c>
      <c r="H760" s="40">
        <f t="shared" si="85"/>
        <v>14.85</v>
      </c>
      <c r="I760" s="20">
        <f>F760*H760</f>
        <v>59.4</v>
      </c>
      <c r="J760" s="124">
        <f t="shared" si="87"/>
        <v>1E-4</v>
      </c>
      <c r="K760" s="133"/>
      <c r="L760" s="92"/>
      <c r="M760" s="136"/>
      <c r="N760" s="136"/>
      <c r="O760" s="136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</row>
    <row r="761" spans="1:45" s="32" customFormat="1" ht="38.25" x14ac:dyDescent="0.2">
      <c r="A761" s="30"/>
      <c r="B761" s="22">
        <v>100741</v>
      </c>
      <c r="C761" s="218" t="s">
        <v>1110</v>
      </c>
      <c r="D761" s="13" t="s">
        <v>1095</v>
      </c>
      <c r="E761" s="21" t="s">
        <v>34</v>
      </c>
      <c r="F761" s="179">
        <v>8</v>
      </c>
      <c r="G761" s="40">
        <v>11.34</v>
      </c>
      <c r="H761" s="40">
        <f t="shared" si="85"/>
        <v>14.63</v>
      </c>
      <c r="I761" s="20">
        <f>F761*H761</f>
        <v>117.04</v>
      </c>
      <c r="J761" s="124">
        <f t="shared" si="87"/>
        <v>2.0000000000000001E-4</v>
      </c>
      <c r="K761" s="133"/>
      <c r="L761" s="92"/>
      <c r="M761" s="136"/>
      <c r="N761" s="136"/>
      <c r="O761" s="136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</row>
    <row r="762" spans="1:45" s="32" customFormat="1" ht="51" x14ac:dyDescent="0.2">
      <c r="A762" s="30"/>
      <c r="B762" s="22" t="s">
        <v>1237</v>
      </c>
      <c r="C762" s="218" t="s">
        <v>1111</v>
      </c>
      <c r="D762" s="13" t="s">
        <v>1094</v>
      </c>
      <c r="E762" s="21" t="s">
        <v>34</v>
      </c>
      <c r="F762" s="179">
        <v>8.9600000000000009</v>
      </c>
      <c r="G762" s="40">
        <v>249.27</v>
      </c>
      <c r="H762" s="40">
        <f t="shared" si="85"/>
        <v>321.73</v>
      </c>
      <c r="I762" s="20">
        <f>F762*H762</f>
        <v>2882.7</v>
      </c>
      <c r="J762" s="124">
        <f t="shared" si="87"/>
        <v>4.8199999999999996E-3</v>
      </c>
      <c r="K762" s="133"/>
      <c r="L762" s="92"/>
      <c r="M762" s="136"/>
      <c r="N762" s="136"/>
      <c r="O762" s="136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</row>
    <row r="763" spans="1:45" s="32" customFormat="1" ht="38.25" x14ac:dyDescent="0.2">
      <c r="A763" s="30"/>
      <c r="B763" s="22">
        <v>100721</v>
      </c>
      <c r="C763" s="218" t="s">
        <v>1112</v>
      </c>
      <c r="D763" s="13" t="s">
        <v>1092</v>
      </c>
      <c r="E763" s="21" t="s">
        <v>34</v>
      </c>
      <c r="F763" s="179">
        <v>4.5</v>
      </c>
      <c r="G763" s="40">
        <v>11.51</v>
      </c>
      <c r="H763" s="40">
        <f t="shared" si="85"/>
        <v>14.85</v>
      </c>
      <c r="I763" s="20">
        <f>F763*H763</f>
        <v>66.83</v>
      </c>
      <c r="J763" s="124">
        <f t="shared" si="87"/>
        <v>1.1E-4</v>
      </c>
      <c r="K763" s="133"/>
      <c r="L763" s="92"/>
      <c r="M763" s="136"/>
      <c r="N763" s="136"/>
      <c r="O763" s="136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</row>
    <row r="764" spans="1:45" s="32" customFormat="1" ht="38.25" x14ac:dyDescent="0.2">
      <c r="A764" s="30"/>
      <c r="B764" s="22">
        <v>100741</v>
      </c>
      <c r="C764" s="218" t="s">
        <v>1113</v>
      </c>
      <c r="D764" s="13" t="s">
        <v>1095</v>
      </c>
      <c r="E764" s="21" t="s">
        <v>34</v>
      </c>
      <c r="F764" s="179">
        <v>9</v>
      </c>
      <c r="G764" s="40">
        <v>11.34</v>
      </c>
      <c r="H764" s="40">
        <f t="shared" si="85"/>
        <v>14.63</v>
      </c>
      <c r="I764" s="20">
        <f>F764*H764</f>
        <v>131.66999999999999</v>
      </c>
      <c r="J764" s="124">
        <f t="shared" si="87"/>
        <v>2.2000000000000001E-4</v>
      </c>
      <c r="K764" s="133"/>
      <c r="L764" s="92"/>
      <c r="M764" s="136"/>
      <c r="N764" s="136"/>
      <c r="O764" s="136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</row>
    <row r="765" spans="1:45" s="32" customFormat="1" x14ac:dyDescent="0.2">
      <c r="A765" s="30"/>
      <c r="B765" s="22"/>
      <c r="C765" s="218"/>
      <c r="D765" s="325" t="s">
        <v>468</v>
      </c>
      <c r="E765" s="325"/>
      <c r="F765" s="325"/>
      <c r="G765" s="325"/>
      <c r="H765" s="326"/>
      <c r="I765" s="110">
        <f>SUM(I749:I764)</f>
        <v>26678.66</v>
      </c>
      <c r="J765" s="124"/>
      <c r="K765" s="133"/>
      <c r="L765" s="92"/>
      <c r="M765" s="136"/>
      <c r="N765" s="136"/>
      <c r="O765" s="136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</row>
    <row r="766" spans="1:45" s="32" customFormat="1" x14ac:dyDescent="0.2">
      <c r="A766" s="30"/>
      <c r="B766" s="22"/>
      <c r="C766" s="246"/>
      <c r="D766" s="77"/>
      <c r="E766" s="174"/>
      <c r="F766" s="174"/>
      <c r="G766" s="290"/>
      <c r="H766" s="233" t="s">
        <v>469</v>
      </c>
      <c r="I766" s="60">
        <f>SUM(I743,I747,I765)</f>
        <v>27370.02</v>
      </c>
      <c r="J766" s="123">
        <f>I766/$I$838</f>
        <v>4.5760000000000002E-2</v>
      </c>
      <c r="K766" s="133"/>
      <c r="L766" s="92"/>
      <c r="M766" s="136"/>
      <c r="N766" s="136"/>
      <c r="O766" s="136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</row>
    <row r="767" spans="1:45" s="32" customFormat="1" ht="13.5" thickBot="1" x14ac:dyDescent="0.25">
      <c r="A767" s="30"/>
      <c r="B767" s="22"/>
      <c r="C767" s="88"/>
      <c r="D767" s="88"/>
      <c r="E767" s="88"/>
      <c r="F767" s="88"/>
      <c r="G767" s="88"/>
      <c r="H767" s="88"/>
      <c r="I767" s="103"/>
      <c r="J767" s="47"/>
      <c r="K767" s="133"/>
      <c r="L767" s="92"/>
      <c r="M767" s="136"/>
      <c r="N767" s="136"/>
      <c r="O767" s="136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  <c r="AN767" s="95"/>
      <c r="AO767" s="95"/>
      <c r="AP767" s="95"/>
      <c r="AQ767" s="95"/>
      <c r="AR767" s="95"/>
      <c r="AS767" s="95"/>
    </row>
    <row r="768" spans="1:45" s="32" customFormat="1" ht="13.5" thickBot="1" x14ac:dyDescent="0.25">
      <c r="A768" s="30"/>
      <c r="B768" s="22"/>
      <c r="C768" s="221" t="s">
        <v>344</v>
      </c>
      <c r="D768" s="318" t="s">
        <v>342</v>
      </c>
      <c r="E768" s="319"/>
      <c r="F768" s="319"/>
      <c r="G768" s="319"/>
      <c r="H768" s="319"/>
      <c r="I768" s="320"/>
      <c r="J768" s="49"/>
      <c r="K768" s="133"/>
      <c r="L768" s="92"/>
      <c r="M768" s="136"/>
      <c r="N768" s="136"/>
      <c r="O768" s="136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  <c r="AN768" s="95"/>
      <c r="AO768" s="95"/>
      <c r="AP768" s="95"/>
      <c r="AQ768" s="95"/>
      <c r="AR768" s="95"/>
      <c r="AS768" s="95"/>
    </row>
    <row r="769" spans="1:45" s="32" customFormat="1" x14ac:dyDescent="0.2">
      <c r="A769" s="30"/>
      <c r="B769" s="22"/>
      <c r="C769" s="229" t="s">
        <v>1052</v>
      </c>
      <c r="D769" s="128" t="s">
        <v>1080</v>
      </c>
      <c r="E769" s="56"/>
      <c r="F769" s="180"/>
      <c r="G769" s="57"/>
      <c r="H769" s="57"/>
      <c r="I769" s="58"/>
      <c r="J769" s="124"/>
      <c r="K769" s="133"/>
      <c r="L769" s="92"/>
      <c r="M769" s="136"/>
      <c r="N769" s="136"/>
      <c r="O769" s="136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</row>
    <row r="770" spans="1:45" s="32" customFormat="1" ht="25.5" x14ac:dyDescent="0.2">
      <c r="A770" s="30"/>
      <c r="B770" s="22">
        <v>97622</v>
      </c>
      <c r="C770" s="218" t="s">
        <v>1123</v>
      </c>
      <c r="D770" s="13" t="s">
        <v>135</v>
      </c>
      <c r="E770" s="21" t="s">
        <v>36</v>
      </c>
      <c r="F770" s="179">
        <v>10.56</v>
      </c>
      <c r="G770" s="40">
        <v>24.98</v>
      </c>
      <c r="H770" s="40">
        <f t="shared" ref="H770:H772" si="88">TRUNC((G770*(1+$I$6)),2)</f>
        <v>32.24</v>
      </c>
      <c r="I770" s="20">
        <f>F770*H770</f>
        <v>340.45</v>
      </c>
      <c r="J770" s="124">
        <f>I770/$I$838</f>
        <v>5.6999999999999998E-4</v>
      </c>
      <c r="K770" s="133"/>
      <c r="L770" s="92"/>
      <c r="M770" s="136"/>
      <c r="N770" s="136"/>
      <c r="O770" s="136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</row>
    <row r="771" spans="1:45" s="32" customFormat="1" x14ac:dyDescent="0.2">
      <c r="A771" s="30"/>
      <c r="B771" s="22">
        <v>97644</v>
      </c>
      <c r="C771" s="218" t="s">
        <v>1124</v>
      </c>
      <c r="D771" s="13" t="s">
        <v>1118</v>
      </c>
      <c r="E771" s="21" t="s">
        <v>34</v>
      </c>
      <c r="F771" s="179">
        <v>8.3699999999999992</v>
      </c>
      <c r="G771" s="40">
        <v>4.1399999999999997</v>
      </c>
      <c r="H771" s="40">
        <f t="shared" si="88"/>
        <v>5.34</v>
      </c>
      <c r="I771" s="20">
        <f>F771*H771</f>
        <v>44.7</v>
      </c>
      <c r="J771" s="124">
        <f>I771/$I$838</f>
        <v>6.9999999999999994E-5</v>
      </c>
      <c r="K771" s="133"/>
      <c r="L771" s="92"/>
      <c r="M771" s="136"/>
      <c r="N771" s="136"/>
      <c r="O771" s="136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  <c r="AN771" s="95"/>
      <c r="AO771" s="95"/>
      <c r="AP771" s="95"/>
      <c r="AQ771" s="95"/>
      <c r="AR771" s="95"/>
      <c r="AS771" s="95"/>
    </row>
    <row r="772" spans="1:45" s="32" customFormat="1" ht="25.5" x14ac:dyDescent="0.2">
      <c r="A772" s="30"/>
      <c r="B772" s="22">
        <v>97626</v>
      </c>
      <c r="C772" s="218" t="s">
        <v>1125</v>
      </c>
      <c r="D772" s="13" t="s">
        <v>1117</v>
      </c>
      <c r="E772" s="21" t="s">
        <v>36</v>
      </c>
      <c r="F772" s="179">
        <v>4.01</v>
      </c>
      <c r="G772" s="40">
        <v>268.32</v>
      </c>
      <c r="H772" s="40">
        <f t="shared" si="88"/>
        <v>346.32</v>
      </c>
      <c r="I772" s="20">
        <f>F772*H772</f>
        <v>1388.74</v>
      </c>
      <c r="J772" s="124">
        <f>I772/$I$838</f>
        <v>2.32E-3</v>
      </c>
      <c r="K772" s="133"/>
      <c r="L772" s="92"/>
      <c r="M772" s="136"/>
      <c r="N772" s="136"/>
      <c r="O772" s="136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  <c r="AN772" s="95"/>
      <c r="AO772" s="95"/>
      <c r="AP772" s="95"/>
      <c r="AQ772" s="95"/>
      <c r="AR772" s="95"/>
      <c r="AS772" s="95"/>
    </row>
    <row r="773" spans="1:45" s="32" customFormat="1" x14ac:dyDescent="0.2">
      <c r="A773" s="30"/>
      <c r="B773" s="22"/>
      <c r="C773" s="218"/>
      <c r="D773" s="325" t="s">
        <v>1053</v>
      </c>
      <c r="E773" s="325"/>
      <c r="F773" s="325"/>
      <c r="G773" s="325"/>
      <c r="H773" s="326"/>
      <c r="I773" s="110">
        <f>SUM(I770:I772)</f>
        <v>1773.89</v>
      </c>
      <c r="J773" s="124">
        <f>I773/$I$838</f>
        <v>2.97E-3</v>
      </c>
      <c r="K773" s="133"/>
      <c r="L773" s="92"/>
      <c r="M773" s="136"/>
      <c r="N773" s="136"/>
      <c r="O773" s="136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  <c r="AN773" s="95"/>
      <c r="AO773" s="95"/>
      <c r="AP773" s="95"/>
      <c r="AQ773" s="95"/>
      <c r="AR773" s="95"/>
      <c r="AS773" s="95"/>
    </row>
    <row r="774" spans="1:45" s="32" customFormat="1" x14ac:dyDescent="0.2">
      <c r="A774" s="30"/>
      <c r="B774" s="22"/>
      <c r="C774" s="229" t="s">
        <v>1055</v>
      </c>
      <c r="D774" s="128" t="s">
        <v>1079</v>
      </c>
      <c r="E774" s="56"/>
      <c r="F774" s="180"/>
      <c r="G774" s="57"/>
      <c r="H774" s="57"/>
      <c r="I774" s="58"/>
      <c r="J774" s="124"/>
      <c r="K774" s="133"/>
      <c r="L774" s="92"/>
      <c r="M774" s="136"/>
      <c r="N774" s="136"/>
      <c r="O774" s="136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  <c r="AN774" s="95"/>
      <c r="AO774" s="95"/>
      <c r="AP774" s="95"/>
      <c r="AQ774" s="95"/>
      <c r="AR774" s="95"/>
      <c r="AS774" s="95"/>
    </row>
    <row r="775" spans="1:45" s="32" customFormat="1" ht="38.25" x14ac:dyDescent="0.2">
      <c r="A775" s="30"/>
      <c r="B775" s="22" t="s">
        <v>1234</v>
      </c>
      <c r="C775" s="218" t="s">
        <v>1126</v>
      </c>
      <c r="D775" s="12" t="s">
        <v>1067</v>
      </c>
      <c r="E775" s="19" t="s">
        <v>36</v>
      </c>
      <c r="F775" s="179">
        <v>0.08</v>
      </c>
      <c r="G775" s="40">
        <v>1138.8499999999999</v>
      </c>
      <c r="H775" s="40">
        <f t="shared" ref="H775:H782" si="89">TRUNC((G775*(1+$I$6)),2)</f>
        <v>1469.91</v>
      </c>
      <c r="I775" s="20">
        <f>F775*H775</f>
        <v>117.59</v>
      </c>
      <c r="J775" s="124">
        <f t="shared" ref="J775:J782" si="90">I775/$I$838</f>
        <v>2.0000000000000001E-4</v>
      </c>
      <c r="K775" s="133"/>
      <c r="L775" s="92"/>
      <c r="M775" s="136"/>
      <c r="N775" s="136"/>
      <c r="O775" s="136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  <c r="AN775" s="95"/>
      <c r="AO775" s="95"/>
      <c r="AP775" s="95"/>
      <c r="AQ775" s="95"/>
      <c r="AR775" s="95"/>
      <c r="AS775" s="95"/>
    </row>
    <row r="776" spans="1:45" s="32" customFormat="1" ht="51" x14ac:dyDescent="0.2">
      <c r="A776" s="30"/>
      <c r="B776" s="22" t="s">
        <v>1234</v>
      </c>
      <c r="C776" s="218" t="s">
        <v>1128</v>
      </c>
      <c r="D776" s="12" t="s">
        <v>513</v>
      </c>
      <c r="E776" s="19" t="s">
        <v>36</v>
      </c>
      <c r="F776" s="179">
        <v>1.3</v>
      </c>
      <c r="G776" s="40">
        <v>1138.8499999999999</v>
      </c>
      <c r="H776" s="40">
        <f t="shared" si="89"/>
        <v>1469.91</v>
      </c>
      <c r="I776" s="20">
        <f>F776*H776</f>
        <v>1910.88</v>
      </c>
      <c r="J776" s="124">
        <f t="shared" si="90"/>
        <v>3.1900000000000001E-3</v>
      </c>
      <c r="K776" s="133"/>
      <c r="L776" s="92"/>
      <c r="M776" s="136"/>
      <c r="N776" s="136"/>
      <c r="O776" s="136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  <c r="AN776" s="95"/>
      <c r="AO776" s="95"/>
      <c r="AP776" s="95"/>
      <c r="AQ776" s="95"/>
      <c r="AR776" s="95"/>
      <c r="AS776" s="95"/>
    </row>
    <row r="777" spans="1:45" s="32" customFormat="1" ht="51" x14ac:dyDescent="0.2">
      <c r="A777" s="30"/>
      <c r="B777" s="22">
        <v>87505</v>
      </c>
      <c r="C777" s="218" t="s">
        <v>1127</v>
      </c>
      <c r="D777" s="13" t="s">
        <v>1068</v>
      </c>
      <c r="E777" s="21" t="s">
        <v>34</v>
      </c>
      <c r="F777" s="179">
        <v>11</v>
      </c>
      <c r="G777" s="40">
        <v>43.27</v>
      </c>
      <c r="H777" s="40">
        <f t="shared" si="89"/>
        <v>55.84</v>
      </c>
      <c r="I777" s="20">
        <f>F777*H777</f>
        <v>614.24</v>
      </c>
      <c r="J777" s="124">
        <f t="shared" si="90"/>
        <v>1.0300000000000001E-3</v>
      </c>
      <c r="K777" s="133"/>
      <c r="L777" s="92"/>
      <c r="M777" s="136"/>
      <c r="N777" s="136"/>
      <c r="O777" s="136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  <c r="AN777" s="95"/>
      <c r="AO777" s="95"/>
      <c r="AP777" s="95"/>
      <c r="AQ777" s="95"/>
      <c r="AR777" s="95"/>
      <c r="AS777" s="95"/>
    </row>
    <row r="778" spans="1:45" s="32" customFormat="1" ht="38.25" x14ac:dyDescent="0.2">
      <c r="A778" s="30"/>
      <c r="B778" s="22">
        <v>87888</v>
      </c>
      <c r="C778" s="218" t="s">
        <v>1129</v>
      </c>
      <c r="D778" s="12" t="s">
        <v>1164</v>
      </c>
      <c r="E778" s="19" t="s">
        <v>34</v>
      </c>
      <c r="F778" s="179">
        <f>F779+12.5</f>
        <v>158.09</v>
      </c>
      <c r="G778" s="40">
        <v>3.34</v>
      </c>
      <c r="H778" s="40">
        <f t="shared" si="89"/>
        <v>4.3099999999999996</v>
      </c>
      <c r="I778" s="20">
        <f>F778*H778</f>
        <v>681.37</v>
      </c>
      <c r="J778" s="124">
        <f t="shared" si="90"/>
        <v>1.14E-3</v>
      </c>
      <c r="K778" s="133"/>
      <c r="L778" s="92"/>
      <c r="M778" s="136"/>
      <c r="N778" s="136"/>
      <c r="O778" s="136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  <c r="AN778" s="95"/>
      <c r="AO778" s="95"/>
      <c r="AP778" s="95"/>
      <c r="AQ778" s="95"/>
      <c r="AR778" s="95"/>
      <c r="AS778" s="95"/>
    </row>
    <row r="779" spans="1:45" s="32" customFormat="1" ht="51" x14ac:dyDescent="0.2">
      <c r="A779" s="30"/>
      <c r="B779" s="22">
        <v>87529</v>
      </c>
      <c r="C779" s="218" t="s">
        <v>1130</v>
      </c>
      <c r="D779" s="11" t="s">
        <v>154</v>
      </c>
      <c r="E779" s="19" t="s">
        <v>34</v>
      </c>
      <c r="F779" s="179">
        <f>56.47+40.97+48.15</f>
        <v>145.59</v>
      </c>
      <c r="G779" s="40">
        <v>16.82</v>
      </c>
      <c r="H779" s="40">
        <f t="shared" si="89"/>
        <v>21.7</v>
      </c>
      <c r="I779" s="20">
        <f>F779*H779</f>
        <v>3159.3</v>
      </c>
      <c r="J779" s="124">
        <f t="shared" si="90"/>
        <v>5.28E-3</v>
      </c>
      <c r="K779" s="133"/>
      <c r="L779" s="92"/>
      <c r="M779" s="136"/>
      <c r="N779" s="136"/>
      <c r="O779" s="136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  <c r="AN779" s="95"/>
      <c r="AO779" s="95"/>
      <c r="AP779" s="95"/>
      <c r="AQ779" s="95"/>
      <c r="AR779" s="95"/>
      <c r="AS779" s="95"/>
    </row>
    <row r="780" spans="1:45" s="32" customFormat="1" ht="25.5" x14ac:dyDescent="0.2">
      <c r="A780" s="30"/>
      <c r="B780" s="22">
        <v>88485</v>
      </c>
      <c r="C780" s="218" t="s">
        <v>1131</v>
      </c>
      <c r="D780" s="76" t="s">
        <v>155</v>
      </c>
      <c r="E780" s="21" t="s">
        <v>34</v>
      </c>
      <c r="F780" s="179">
        <f>F779</f>
        <v>145.59</v>
      </c>
      <c r="G780" s="40">
        <v>1.18</v>
      </c>
      <c r="H780" s="40">
        <f t="shared" si="89"/>
        <v>1.52</v>
      </c>
      <c r="I780" s="20">
        <f>F780*H780</f>
        <v>221.3</v>
      </c>
      <c r="J780" s="124">
        <f t="shared" si="90"/>
        <v>3.6999999999999999E-4</v>
      </c>
      <c r="K780" s="133"/>
      <c r="L780" s="92"/>
      <c r="M780" s="136"/>
      <c r="N780" s="136"/>
      <c r="O780" s="136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  <c r="AN780" s="95"/>
      <c r="AO780" s="95"/>
      <c r="AP780" s="95"/>
      <c r="AQ780" s="95"/>
      <c r="AR780" s="95"/>
      <c r="AS780" s="95"/>
    </row>
    <row r="781" spans="1:45" s="32" customFormat="1" ht="25.5" x14ac:dyDescent="0.2">
      <c r="A781" s="30"/>
      <c r="B781" s="22">
        <v>95305</v>
      </c>
      <c r="C781" s="218" t="s">
        <v>1132</v>
      </c>
      <c r="D781" s="13" t="s">
        <v>1074</v>
      </c>
      <c r="E781" s="21" t="s">
        <v>34</v>
      </c>
      <c r="F781" s="179">
        <f>F779</f>
        <v>145.59</v>
      </c>
      <c r="G781" s="40">
        <v>7.65</v>
      </c>
      <c r="H781" s="40">
        <f t="shared" si="89"/>
        <v>9.8699999999999992</v>
      </c>
      <c r="I781" s="20">
        <f>F781*H781</f>
        <v>1436.97</v>
      </c>
      <c r="J781" s="124">
        <f t="shared" si="90"/>
        <v>2.3999999999999998E-3</v>
      </c>
      <c r="K781" s="133"/>
      <c r="L781" s="92"/>
      <c r="M781" s="136"/>
      <c r="N781" s="136"/>
      <c r="O781" s="136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  <c r="AN781" s="95"/>
      <c r="AO781" s="95"/>
      <c r="AP781" s="95"/>
      <c r="AQ781" s="95"/>
      <c r="AR781" s="95"/>
      <c r="AS781" s="95"/>
    </row>
    <row r="782" spans="1:45" s="32" customFormat="1" ht="25.5" x14ac:dyDescent="0.2">
      <c r="A782" s="30"/>
      <c r="B782" s="22">
        <v>88489</v>
      </c>
      <c r="C782" s="218" t="s">
        <v>1133</v>
      </c>
      <c r="D782" s="13" t="s">
        <v>1075</v>
      </c>
      <c r="E782" s="21" t="s">
        <v>34</v>
      </c>
      <c r="F782" s="179">
        <f>F779</f>
        <v>145.59</v>
      </c>
      <c r="G782" s="40">
        <v>7.37</v>
      </c>
      <c r="H782" s="40">
        <f t="shared" si="89"/>
        <v>9.51</v>
      </c>
      <c r="I782" s="74">
        <f>F782*H782</f>
        <v>1384.56</v>
      </c>
      <c r="J782" s="124">
        <f t="shared" si="90"/>
        <v>2.31E-3</v>
      </c>
      <c r="K782" s="133"/>
      <c r="L782" s="92"/>
      <c r="M782" s="136"/>
      <c r="N782" s="136"/>
      <c r="O782" s="136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  <c r="AN782" s="95"/>
      <c r="AO782" s="95"/>
      <c r="AP782" s="95"/>
      <c r="AQ782" s="95"/>
      <c r="AR782" s="95"/>
      <c r="AS782" s="95"/>
    </row>
    <row r="783" spans="1:45" s="32" customFormat="1" x14ac:dyDescent="0.2">
      <c r="A783" s="30"/>
      <c r="B783" s="22"/>
      <c r="C783" s="218"/>
      <c r="D783" s="325" t="s">
        <v>1056</v>
      </c>
      <c r="E783" s="325"/>
      <c r="F783" s="325"/>
      <c r="G783" s="325"/>
      <c r="H783" s="326"/>
      <c r="I783" s="110">
        <f>SUM(I775:I782)</f>
        <v>9526.2099999999991</v>
      </c>
      <c r="J783" s="124"/>
      <c r="K783" s="133"/>
      <c r="L783" s="92"/>
      <c r="M783" s="136"/>
      <c r="N783" s="136"/>
      <c r="O783" s="136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  <c r="AN783" s="95"/>
      <c r="AO783" s="95"/>
      <c r="AP783" s="95"/>
      <c r="AQ783" s="95"/>
      <c r="AR783" s="95"/>
      <c r="AS783" s="95"/>
    </row>
    <row r="784" spans="1:45" s="32" customFormat="1" x14ac:dyDescent="0.2">
      <c r="A784" s="30"/>
      <c r="B784" s="22"/>
      <c r="C784" s="229" t="s">
        <v>1058</v>
      </c>
      <c r="D784" s="128" t="s">
        <v>1057</v>
      </c>
      <c r="E784" s="56"/>
      <c r="F784" s="180"/>
      <c r="G784" s="57"/>
      <c r="H784" s="57"/>
      <c r="I784" s="58"/>
      <c r="J784" s="124"/>
      <c r="K784" s="133"/>
      <c r="L784" s="92"/>
      <c r="M784" s="136"/>
      <c r="N784" s="136"/>
      <c r="O784" s="136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  <c r="AN784" s="95"/>
      <c r="AO784" s="95"/>
      <c r="AP784" s="95"/>
      <c r="AQ784" s="95"/>
      <c r="AR784" s="95"/>
      <c r="AS784" s="95"/>
    </row>
    <row r="785" spans="1:45" s="32" customFormat="1" x14ac:dyDescent="0.2">
      <c r="A785" s="30"/>
      <c r="B785" s="22">
        <v>93358</v>
      </c>
      <c r="C785" s="218" t="s">
        <v>1134</v>
      </c>
      <c r="D785" s="13" t="s">
        <v>1081</v>
      </c>
      <c r="E785" s="21" t="s">
        <v>36</v>
      </c>
      <c r="F785" s="179">
        <v>52.11</v>
      </c>
      <c r="G785" s="40">
        <v>37.590000000000003</v>
      </c>
      <c r="H785" s="40">
        <f t="shared" ref="H785:H802" si="91">TRUNC((G785*(1+$I$6)),2)</f>
        <v>48.51</v>
      </c>
      <c r="I785" s="20">
        <f>F785*H785</f>
        <v>2527.86</v>
      </c>
      <c r="J785" s="124">
        <f t="shared" ref="J785:J802" si="92">I785/$I$838</f>
        <v>4.2300000000000003E-3</v>
      </c>
      <c r="K785" s="133"/>
      <c r="L785" s="92"/>
      <c r="M785" s="136"/>
      <c r="N785" s="136"/>
      <c r="O785" s="136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  <c r="AN785" s="95"/>
      <c r="AO785" s="95"/>
      <c r="AP785" s="95"/>
      <c r="AQ785" s="95"/>
      <c r="AR785" s="95"/>
      <c r="AS785" s="95"/>
    </row>
    <row r="786" spans="1:45" s="32" customFormat="1" ht="38.25" x14ac:dyDescent="0.2">
      <c r="A786" s="30"/>
      <c r="B786" s="22">
        <v>93360</v>
      </c>
      <c r="C786" s="218" t="s">
        <v>1135</v>
      </c>
      <c r="D786" s="13" t="s">
        <v>1082</v>
      </c>
      <c r="E786" s="21" t="s">
        <v>36</v>
      </c>
      <c r="F786" s="179">
        <v>36.32</v>
      </c>
      <c r="G786" s="40">
        <v>9.57</v>
      </c>
      <c r="H786" s="40">
        <f t="shared" si="91"/>
        <v>12.35</v>
      </c>
      <c r="I786" s="20">
        <f>F786*H786</f>
        <v>448.55</v>
      </c>
      <c r="J786" s="124">
        <f t="shared" si="92"/>
        <v>7.5000000000000002E-4</v>
      </c>
      <c r="K786" s="133"/>
      <c r="L786" s="92"/>
      <c r="M786" s="136"/>
      <c r="N786" s="136"/>
      <c r="O786" s="136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  <c r="AN786" s="95"/>
      <c r="AO786" s="95"/>
      <c r="AP786" s="95"/>
      <c r="AQ786" s="95"/>
      <c r="AR786" s="95"/>
      <c r="AS786" s="95"/>
    </row>
    <row r="787" spans="1:45" s="32" customFormat="1" ht="51" x14ac:dyDescent="0.2">
      <c r="A787" s="30"/>
      <c r="B787" s="22" t="s">
        <v>1229</v>
      </c>
      <c r="C787" s="218" t="s">
        <v>1136</v>
      </c>
      <c r="D787" s="259" t="s">
        <v>474</v>
      </c>
      <c r="E787" s="14" t="s">
        <v>37</v>
      </c>
      <c r="F787" s="182">
        <v>32</v>
      </c>
      <c r="G787" s="40">
        <v>25.5</v>
      </c>
      <c r="H787" s="40">
        <f t="shared" si="91"/>
        <v>32.909999999999997</v>
      </c>
      <c r="I787" s="20">
        <f>F787*H787</f>
        <v>1053.1199999999999</v>
      </c>
      <c r="J787" s="124">
        <f t="shared" si="92"/>
        <v>1.7600000000000001E-3</v>
      </c>
      <c r="K787" s="133"/>
      <c r="L787" s="92"/>
      <c r="M787" s="136"/>
      <c r="N787" s="136"/>
      <c r="O787" s="136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  <c r="AN787" s="95"/>
      <c r="AO787" s="95"/>
      <c r="AP787" s="95"/>
      <c r="AQ787" s="95"/>
      <c r="AR787" s="95"/>
      <c r="AS787" s="95"/>
    </row>
    <row r="788" spans="1:45" s="32" customFormat="1" ht="38.25" x14ac:dyDescent="0.2">
      <c r="A788" s="30"/>
      <c r="B788" s="22" t="s">
        <v>1239</v>
      </c>
      <c r="C788" s="218" t="s">
        <v>1137</v>
      </c>
      <c r="D788" s="259" t="s">
        <v>1122</v>
      </c>
      <c r="E788" s="14" t="s">
        <v>35</v>
      </c>
      <c r="F788" s="182">
        <v>1</v>
      </c>
      <c r="G788" s="40">
        <v>119.13</v>
      </c>
      <c r="H788" s="40">
        <f t="shared" si="91"/>
        <v>153.76</v>
      </c>
      <c r="I788" s="20">
        <f>F788*H788</f>
        <v>153.76</v>
      </c>
      <c r="J788" s="124">
        <f t="shared" si="92"/>
        <v>2.5999999999999998E-4</v>
      </c>
      <c r="K788" s="133"/>
      <c r="L788" s="92"/>
      <c r="M788" s="136"/>
      <c r="N788" s="136"/>
      <c r="O788" s="136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  <c r="AN788" s="95"/>
      <c r="AO788" s="95"/>
      <c r="AP788" s="95"/>
      <c r="AQ788" s="95"/>
      <c r="AR788" s="95"/>
      <c r="AS788" s="95"/>
    </row>
    <row r="789" spans="1:45" s="32" customFormat="1" ht="25.5" x14ac:dyDescent="0.2">
      <c r="A789" s="30"/>
      <c r="B789" s="22">
        <v>89714</v>
      </c>
      <c r="C789" s="218" t="s">
        <v>1138</v>
      </c>
      <c r="D789" s="73" t="s">
        <v>1071</v>
      </c>
      <c r="E789" s="14" t="s">
        <v>37</v>
      </c>
      <c r="F789" s="182">
        <v>3.2</v>
      </c>
      <c r="G789" s="40">
        <v>30.32</v>
      </c>
      <c r="H789" s="40">
        <f t="shared" si="91"/>
        <v>39.130000000000003</v>
      </c>
      <c r="I789" s="20">
        <f>F789*H789</f>
        <v>125.22</v>
      </c>
      <c r="J789" s="124">
        <f t="shared" si="92"/>
        <v>2.1000000000000001E-4</v>
      </c>
      <c r="K789" s="133"/>
      <c r="L789" s="92"/>
      <c r="M789" s="136"/>
      <c r="N789" s="136"/>
      <c r="O789" s="136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  <c r="AN789" s="95"/>
      <c r="AO789" s="95"/>
      <c r="AP789" s="95"/>
      <c r="AQ789" s="95"/>
      <c r="AR789" s="95"/>
      <c r="AS789" s="95"/>
    </row>
    <row r="790" spans="1:45" s="32" customFormat="1" ht="51" x14ac:dyDescent="0.2">
      <c r="A790" s="30"/>
      <c r="B790" s="22">
        <v>100899</v>
      </c>
      <c r="C790" s="218" t="s">
        <v>1139</v>
      </c>
      <c r="D790" s="12" t="s">
        <v>1069</v>
      </c>
      <c r="E790" s="19" t="s">
        <v>37</v>
      </c>
      <c r="F790" s="179">
        <v>48</v>
      </c>
      <c r="G790" s="40">
        <v>39.299999999999997</v>
      </c>
      <c r="H790" s="40">
        <f t="shared" si="91"/>
        <v>50.72</v>
      </c>
      <c r="I790" s="20">
        <f>F790*H790</f>
        <v>2434.56</v>
      </c>
      <c r="J790" s="124">
        <f t="shared" si="92"/>
        <v>4.0699999999999998E-3</v>
      </c>
      <c r="K790" s="133"/>
      <c r="L790" s="92"/>
      <c r="M790" s="136"/>
      <c r="N790" s="136"/>
      <c r="O790" s="136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  <c r="AN790" s="95"/>
      <c r="AO790" s="95"/>
      <c r="AP790" s="95"/>
      <c r="AQ790" s="95"/>
      <c r="AR790" s="95"/>
      <c r="AS790" s="95"/>
    </row>
    <row r="791" spans="1:45" s="32" customFormat="1" ht="38.25" x14ac:dyDescent="0.2">
      <c r="A791" s="30"/>
      <c r="B791" s="105" t="s">
        <v>1233</v>
      </c>
      <c r="C791" s="218" t="s">
        <v>1140</v>
      </c>
      <c r="D791" s="12" t="s">
        <v>1070</v>
      </c>
      <c r="E791" s="19" t="s">
        <v>36</v>
      </c>
      <c r="F791" s="179">
        <v>4.29</v>
      </c>
      <c r="G791" s="40">
        <v>426.63</v>
      </c>
      <c r="H791" s="40">
        <f t="shared" si="91"/>
        <v>550.65</v>
      </c>
      <c r="I791" s="20">
        <f>F791*H791</f>
        <v>2362.29</v>
      </c>
      <c r="J791" s="124">
        <f t="shared" si="92"/>
        <v>3.9500000000000004E-3</v>
      </c>
      <c r="K791" s="133"/>
      <c r="L791" s="92"/>
      <c r="M791" s="136"/>
      <c r="N791" s="136"/>
      <c r="O791" s="136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  <c r="AN791" s="95"/>
      <c r="AO791" s="95"/>
      <c r="AP791" s="95"/>
      <c r="AQ791" s="95"/>
      <c r="AR791" s="95"/>
      <c r="AS791" s="95"/>
    </row>
    <row r="792" spans="1:45" s="32" customFormat="1" ht="51" x14ac:dyDescent="0.2">
      <c r="A792" s="30"/>
      <c r="B792" s="22" t="s">
        <v>1234</v>
      </c>
      <c r="C792" s="218" t="s">
        <v>1141</v>
      </c>
      <c r="D792" s="12" t="s">
        <v>511</v>
      </c>
      <c r="E792" s="19" t="s">
        <v>36</v>
      </c>
      <c r="F792" s="179">
        <v>1.66</v>
      </c>
      <c r="G792" s="40">
        <v>1138.8499999999999</v>
      </c>
      <c r="H792" s="40">
        <f t="shared" si="91"/>
        <v>1469.91</v>
      </c>
      <c r="I792" s="20">
        <f>F792*H792</f>
        <v>2440.0500000000002</v>
      </c>
      <c r="J792" s="124">
        <f t="shared" si="92"/>
        <v>4.0800000000000003E-3</v>
      </c>
      <c r="K792" s="133"/>
      <c r="L792" s="92"/>
      <c r="M792" s="136"/>
      <c r="N792" s="136"/>
      <c r="O792" s="136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</row>
    <row r="793" spans="1:45" s="32" customFormat="1" ht="51" x14ac:dyDescent="0.2">
      <c r="A793" s="30"/>
      <c r="B793" s="22" t="s">
        <v>1234</v>
      </c>
      <c r="C793" s="218" t="s">
        <v>1142</v>
      </c>
      <c r="D793" s="12" t="s">
        <v>1072</v>
      </c>
      <c r="E793" s="19" t="s">
        <v>36</v>
      </c>
      <c r="F793" s="179">
        <v>1.43</v>
      </c>
      <c r="G793" s="40">
        <v>1138.8499999999999</v>
      </c>
      <c r="H793" s="40">
        <f t="shared" si="91"/>
        <v>1469.91</v>
      </c>
      <c r="I793" s="20">
        <f>F793*H793</f>
        <v>2101.9699999999998</v>
      </c>
      <c r="J793" s="124">
        <f t="shared" si="92"/>
        <v>3.5100000000000001E-3</v>
      </c>
      <c r="K793" s="133"/>
      <c r="L793" s="92"/>
      <c r="M793" s="136"/>
      <c r="N793" s="136"/>
      <c r="O793" s="136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</row>
    <row r="794" spans="1:45" s="32" customFormat="1" ht="38.25" x14ac:dyDescent="0.2">
      <c r="A794" s="30"/>
      <c r="B794" s="22" t="s">
        <v>1234</v>
      </c>
      <c r="C794" s="218" t="s">
        <v>1143</v>
      </c>
      <c r="D794" s="12" t="s">
        <v>1073</v>
      </c>
      <c r="E794" s="19" t="s">
        <v>36</v>
      </c>
      <c r="F794" s="179">
        <v>1.43</v>
      </c>
      <c r="G794" s="40">
        <v>1138.8499999999999</v>
      </c>
      <c r="H794" s="40">
        <f t="shared" si="91"/>
        <v>1469.91</v>
      </c>
      <c r="I794" s="20">
        <f>F794*H794</f>
        <v>2101.9699999999998</v>
      </c>
      <c r="J794" s="124">
        <f t="shared" si="92"/>
        <v>3.5100000000000001E-3</v>
      </c>
      <c r="K794" s="133"/>
      <c r="L794" s="92"/>
      <c r="M794" s="136"/>
      <c r="N794" s="136"/>
      <c r="O794" s="136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</row>
    <row r="795" spans="1:45" s="32" customFormat="1" ht="25.5" x14ac:dyDescent="0.2">
      <c r="A795" s="30"/>
      <c r="B795" s="22" t="s">
        <v>1230</v>
      </c>
      <c r="C795" s="218" t="s">
        <v>1144</v>
      </c>
      <c r="D795" s="12" t="s">
        <v>62</v>
      </c>
      <c r="E795" s="21" t="s">
        <v>34</v>
      </c>
      <c r="F795" s="179">
        <v>52.11</v>
      </c>
      <c r="G795" s="40">
        <v>5.7</v>
      </c>
      <c r="H795" s="40">
        <f t="shared" si="91"/>
        <v>7.35</v>
      </c>
      <c r="I795" s="20">
        <f>F795*H795</f>
        <v>383.01</v>
      </c>
      <c r="J795" s="124">
        <f t="shared" si="92"/>
        <v>6.4000000000000005E-4</v>
      </c>
      <c r="K795" s="133"/>
      <c r="L795" s="92"/>
      <c r="M795" s="136"/>
      <c r="N795" s="136"/>
      <c r="O795" s="136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</row>
    <row r="796" spans="1:45" s="32" customFormat="1" ht="38.25" x14ac:dyDescent="0.2">
      <c r="A796" s="30"/>
      <c r="B796" s="22" t="s">
        <v>1234</v>
      </c>
      <c r="C796" s="218" t="s">
        <v>1145</v>
      </c>
      <c r="D796" s="12" t="s">
        <v>512</v>
      </c>
      <c r="E796" s="19" t="s">
        <v>36</v>
      </c>
      <c r="F796" s="179">
        <v>1.1499999999999999</v>
      </c>
      <c r="G796" s="40">
        <v>1138.8499999999999</v>
      </c>
      <c r="H796" s="40">
        <f t="shared" si="91"/>
        <v>1469.91</v>
      </c>
      <c r="I796" s="20">
        <f>F796*H796</f>
        <v>1690.4</v>
      </c>
      <c r="J796" s="124">
        <f t="shared" si="92"/>
        <v>2.8300000000000001E-3</v>
      </c>
      <c r="K796" s="133"/>
      <c r="L796" s="92"/>
      <c r="M796" s="136"/>
      <c r="N796" s="136"/>
      <c r="O796" s="136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</row>
    <row r="797" spans="1:45" s="32" customFormat="1" ht="51" x14ac:dyDescent="0.2">
      <c r="A797" s="30"/>
      <c r="B797" s="22">
        <v>89454</v>
      </c>
      <c r="C797" s="218" t="s">
        <v>1146</v>
      </c>
      <c r="D797" s="73" t="s">
        <v>1078</v>
      </c>
      <c r="E797" s="14" t="s">
        <v>34</v>
      </c>
      <c r="F797" s="182">
        <v>64.62</v>
      </c>
      <c r="G797" s="40">
        <v>39.130000000000003</v>
      </c>
      <c r="H797" s="40">
        <f t="shared" si="91"/>
        <v>50.5</v>
      </c>
      <c r="I797" s="20">
        <f>F797*H797</f>
        <v>3263.31</v>
      </c>
      <c r="J797" s="124">
        <f t="shared" si="92"/>
        <v>5.4599999999999996E-3</v>
      </c>
      <c r="K797" s="133"/>
      <c r="L797" s="92"/>
      <c r="M797" s="136"/>
      <c r="N797" s="136"/>
      <c r="O797" s="136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</row>
    <row r="798" spans="1:45" s="32" customFormat="1" ht="25.5" x14ac:dyDescent="0.2">
      <c r="A798" s="30"/>
      <c r="B798" s="22">
        <v>87879</v>
      </c>
      <c r="C798" s="218" t="s">
        <v>1147</v>
      </c>
      <c r="D798" s="12" t="s">
        <v>42</v>
      </c>
      <c r="E798" s="19" t="s">
        <v>34</v>
      </c>
      <c r="F798" s="179">
        <v>167.92</v>
      </c>
      <c r="G798" s="40">
        <v>1.98</v>
      </c>
      <c r="H798" s="40">
        <f t="shared" si="91"/>
        <v>2.5499999999999998</v>
      </c>
      <c r="I798" s="20">
        <f>F798*H798</f>
        <v>428.2</v>
      </c>
      <c r="J798" s="124">
        <f t="shared" si="92"/>
        <v>7.2000000000000005E-4</v>
      </c>
      <c r="K798" s="133"/>
      <c r="L798" s="92"/>
      <c r="M798" s="136"/>
      <c r="N798" s="136"/>
      <c r="O798" s="136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</row>
    <row r="799" spans="1:45" s="32" customFormat="1" ht="51" x14ac:dyDescent="0.2">
      <c r="A799" s="30"/>
      <c r="B799" s="22">
        <v>87529</v>
      </c>
      <c r="C799" s="218" t="s">
        <v>1148</v>
      </c>
      <c r="D799" s="11" t="s">
        <v>154</v>
      </c>
      <c r="E799" s="19" t="s">
        <v>34</v>
      </c>
      <c r="F799" s="179">
        <v>167.92</v>
      </c>
      <c r="G799" s="40">
        <v>16.82</v>
      </c>
      <c r="H799" s="40">
        <f t="shared" si="91"/>
        <v>21.7</v>
      </c>
      <c r="I799" s="20">
        <f>F799*H799</f>
        <v>3643.86</v>
      </c>
      <c r="J799" s="124">
        <f t="shared" si="92"/>
        <v>6.0899999999999999E-3</v>
      </c>
      <c r="K799" s="133"/>
      <c r="L799" s="92"/>
      <c r="M799" s="136"/>
      <c r="N799" s="136"/>
      <c r="O799" s="136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</row>
    <row r="800" spans="1:45" s="32" customFormat="1" ht="25.5" x14ac:dyDescent="0.2">
      <c r="A800" s="30"/>
      <c r="B800" s="22">
        <v>88485</v>
      </c>
      <c r="C800" s="218" t="s">
        <v>1149</v>
      </c>
      <c r="D800" s="76" t="s">
        <v>155</v>
      </c>
      <c r="E800" s="21" t="s">
        <v>34</v>
      </c>
      <c r="F800" s="179">
        <v>167.92</v>
      </c>
      <c r="G800" s="40">
        <v>1.18</v>
      </c>
      <c r="H800" s="40">
        <f t="shared" si="91"/>
        <v>1.52</v>
      </c>
      <c r="I800" s="20">
        <f>F800*H800</f>
        <v>255.24</v>
      </c>
      <c r="J800" s="124">
        <f t="shared" si="92"/>
        <v>4.2999999999999999E-4</v>
      </c>
      <c r="K800" s="133"/>
      <c r="L800" s="92"/>
      <c r="M800" s="136"/>
      <c r="N800" s="136"/>
      <c r="O800" s="136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</row>
    <row r="801" spans="1:45" s="32" customFormat="1" ht="25.5" x14ac:dyDescent="0.2">
      <c r="A801" s="30"/>
      <c r="B801" s="22">
        <v>95305</v>
      </c>
      <c r="C801" s="218" t="s">
        <v>1150</v>
      </c>
      <c r="D801" s="13" t="s">
        <v>1074</v>
      </c>
      <c r="E801" s="21" t="s">
        <v>34</v>
      </c>
      <c r="F801" s="179">
        <v>167.92</v>
      </c>
      <c r="G801" s="40">
        <v>7.65</v>
      </c>
      <c r="H801" s="40">
        <f t="shared" si="91"/>
        <v>9.8699999999999992</v>
      </c>
      <c r="I801" s="20">
        <f>F801*H801</f>
        <v>1657.37</v>
      </c>
      <c r="J801" s="124">
        <f t="shared" si="92"/>
        <v>2.7699999999999999E-3</v>
      </c>
      <c r="K801" s="133"/>
      <c r="L801" s="92"/>
      <c r="M801" s="136"/>
      <c r="N801" s="136"/>
      <c r="O801" s="136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</row>
    <row r="802" spans="1:45" s="32" customFormat="1" ht="25.5" x14ac:dyDescent="0.2">
      <c r="A802" s="30"/>
      <c r="B802" s="22">
        <v>88489</v>
      </c>
      <c r="C802" s="218" t="s">
        <v>1151</v>
      </c>
      <c r="D802" s="13" t="s">
        <v>1075</v>
      </c>
      <c r="E802" s="21" t="s">
        <v>34</v>
      </c>
      <c r="F802" s="179">
        <v>167.92</v>
      </c>
      <c r="G802" s="40">
        <v>7.37</v>
      </c>
      <c r="H802" s="40">
        <f t="shared" si="91"/>
        <v>9.51</v>
      </c>
      <c r="I802" s="74">
        <f>F802*H802</f>
        <v>1596.92</v>
      </c>
      <c r="J802" s="124">
        <f t="shared" si="92"/>
        <v>2.6700000000000001E-3</v>
      </c>
      <c r="K802" s="133"/>
      <c r="L802" s="92"/>
      <c r="M802" s="136"/>
      <c r="N802" s="136"/>
      <c r="O802" s="136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</row>
    <row r="803" spans="1:45" s="32" customFormat="1" x14ac:dyDescent="0.2">
      <c r="A803" s="30"/>
      <c r="B803" s="22"/>
      <c r="C803" s="218"/>
      <c r="D803" s="325" t="s">
        <v>1059</v>
      </c>
      <c r="E803" s="325"/>
      <c r="F803" s="325"/>
      <c r="G803" s="325"/>
      <c r="H803" s="326"/>
      <c r="I803" s="110">
        <f>SUM(I785:I802)</f>
        <v>28667.66</v>
      </c>
      <c r="J803" s="124"/>
      <c r="K803" s="133"/>
      <c r="L803" s="92"/>
      <c r="M803" s="136"/>
      <c r="N803" s="136"/>
      <c r="O803" s="136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</row>
    <row r="804" spans="1:45" s="32" customFormat="1" x14ac:dyDescent="0.2">
      <c r="A804" s="30"/>
      <c r="B804" s="22"/>
      <c r="C804" s="229" t="s">
        <v>1061</v>
      </c>
      <c r="D804" s="128" t="s">
        <v>1063</v>
      </c>
      <c r="E804" s="56"/>
      <c r="F804" s="180"/>
      <c r="G804" s="57"/>
      <c r="H804" s="57"/>
      <c r="I804" s="58"/>
      <c r="J804" s="124"/>
      <c r="K804" s="133"/>
      <c r="L804" s="92"/>
      <c r="M804" s="136"/>
      <c r="N804" s="136"/>
      <c r="O804" s="136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</row>
    <row r="805" spans="1:45" s="32" customFormat="1" ht="63.75" x14ac:dyDescent="0.2">
      <c r="A805" s="30"/>
      <c r="B805" s="22">
        <v>87509</v>
      </c>
      <c r="C805" s="218" t="s">
        <v>1152</v>
      </c>
      <c r="D805" s="12" t="s">
        <v>490</v>
      </c>
      <c r="E805" s="19" t="s">
        <v>34</v>
      </c>
      <c r="F805" s="179">
        <v>6.77</v>
      </c>
      <c r="G805" s="40">
        <v>73.62</v>
      </c>
      <c r="H805" s="40">
        <f t="shared" ref="H805:H814" si="93">TRUNC((G805*(1+$I$6)),2)</f>
        <v>95.02</v>
      </c>
      <c r="I805" s="20">
        <f>F805*H805</f>
        <v>643.29</v>
      </c>
      <c r="J805" s="124">
        <f t="shared" ref="J805:J814" si="94">I805/$I$838</f>
        <v>1.08E-3</v>
      </c>
      <c r="K805" s="133"/>
      <c r="L805" s="92"/>
      <c r="M805" s="136"/>
      <c r="N805" s="136"/>
      <c r="O805" s="136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</row>
    <row r="806" spans="1:45" s="32" customFormat="1" ht="25.5" x14ac:dyDescent="0.2">
      <c r="A806" s="30"/>
      <c r="B806" s="22">
        <v>87879</v>
      </c>
      <c r="C806" s="218" t="s">
        <v>1153</v>
      </c>
      <c r="D806" s="12" t="s">
        <v>42</v>
      </c>
      <c r="E806" s="19" t="s">
        <v>34</v>
      </c>
      <c r="F806" s="179">
        <v>29.34</v>
      </c>
      <c r="G806" s="40">
        <v>1.98</v>
      </c>
      <c r="H806" s="40">
        <f t="shared" si="93"/>
        <v>2.5499999999999998</v>
      </c>
      <c r="I806" s="20">
        <f>F806*H806</f>
        <v>74.819999999999993</v>
      </c>
      <c r="J806" s="124">
        <f t="shared" si="94"/>
        <v>1.2999999999999999E-4</v>
      </c>
      <c r="K806" s="133"/>
      <c r="L806" s="92"/>
      <c r="M806" s="136"/>
      <c r="N806" s="136"/>
      <c r="O806" s="136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</row>
    <row r="807" spans="1:45" s="32" customFormat="1" ht="51" x14ac:dyDescent="0.2">
      <c r="A807" s="30"/>
      <c r="B807" s="22">
        <v>87529</v>
      </c>
      <c r="C807" s="218" t="s">
        <v>1154</v>
      </c>
      <c r="D807" s="11" t="s">
        <v>154</v>
      </c>
      <c r="E807" s="19" t="s">
        <v>34</v>
      </c>
      <c r="F807" s="179">
        <v>29.34</v>
      </c>
      <c r="G807" s="40">
        <v>16.82</v>
      </c>
      <c r="H807" s="40">
        <f t="shared" si="93"/>
        <v>21.7</v>
      </c>
      <c r="I807" s="20">
        <f>F807*H807</f>
        <v>636.67999999999995</v>
      </c>
      <c r="J807" s="124">
        <f t="shared" si="94"/>
        <v>1.06E-3</v>
      </c>
      <c r="K807" s="133"/>
      <c r="L807" s="92"/>
      <c r="M807" s="136"/>
      <c r="N807" s="136"/>
      <c r="O807" s="136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</row>
    <row r="808" spans="1:45" s="32" customFormat="1" ht="25.5" x14ac:dyDescent="0.2">
      <c r="A808" s="30"/>
      <c r="B808" s="22">
        <v>88485</v>
      </c>
      <c r="C808" s="218" t="s">
        <v>1155</v>
      </c>
      <c r="D808" s="76" t="s">
        <v>155</v>
      </c>
      <c r="E808" s="21" t="s">
        <v>34</v>
      </c>
      <c r="F808" s="179">
        <v>6.48</v>
      </c>
      <c r="G808" s="40">
        <v>1.18</v>
      </c>
      <c r="H808" s="40">
        <f t="shared" si="93"/>
        <v>1.52</v>
      </c>
      <c r="I808" s="20">
        <f>F808*H808</f>
        <v>9.85</v>
      </c>
      <c r="J808" s="124">
        <f t="shared" si="94"/>
        <v>2.0000000000000002E-5</v>
      </c>
      <c r="K808" s="133"/>
      <c r="L808" s="92"/>
      <c r="M808" s="136"/>
      <c r="N808" s="136"/>
      <c r="O808" s="136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</row>
    <row r="809" spans="1:45" s="32" customFormat="1" ht="25.5" x14ac:dyDescent="0.2">
      <c r="A809" s="30"/>
      <c r="B809" s="22">
        <v>95305</v>
      </c>
      <c r="C809" s="218" t="s">
        <v>1156</v>
      </c>
      <c r="D809" s="13" t="s">
        <v>1074</v>
      </c>
      <c r="E809" s="21" t="s">
        <v>34</v>
      </c>
      <c r="F809" s="179">
        <v>6.48</v>
      </c>
      <c r="G809" s="40">
        <v>7.65</v>
      </c>
      <c r="H809" s="40">
        <f t="shared" si="93"/>
        <v>9.8699999999999992</v>
      </c>
      <c r="I809" s="20">
        <f>F809*H809</f>
        <v>63.96</v>
      </c>
      <c r="J809" s="124">
        <f t="shared" si="94"/>
        <v>1.1E-4</v>
      </c>
      <c r="K809" s="133"/>
      <c r="L809" s="92"/>
      <c r="M809" s="136"/>
      <c r="N809" s="136"/>
      <c r="O809" s="136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</row>
    <row r="810" spans="1:45" s="32" customFormat="1" ht="25.5" x14ac:dyDescent="0.2">
      <c r="A810" s="30"/>
      <c r="B810" s="22">
        <v>88489</v>
      </c>
      <c r="C810" s="218" t="s">
        <v>1157</v>
      </c>
      <c r="D810" s="13" t="s">
        <v>1075</v>
      </c>
      <c r="E810" s="21" t="s">
        <v>34</v>
      </c>
      <c r="F810" s="179">
        <v>6.48</v>
      </c>
      <c r="G810" s="40">
        <v>7.37</v>
      </c>
      <c r="H810" s="40">
        <f t="shared" si="93"/>
        <v>9.51</v>
      </c>
      <c r="I810" s="74">
        <f>F810*H810</f>
        <v>61.62</v>
      </c>
      <c r="J810" s="124">
        <f t="shared" si="94"/>
        <v>1E-4</v>
      </c>
      <c r="K810" s="133"/>
      <c r="L810" s="92"/>
      <c r="M810" s="136"/>
      <c r="N810" s="136"/>
      <c r="O810" s="136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</row>
    <row r="811" spans="1:45" s="32" customFormat="1" ht="102" x14ac:dyDescent="0.2">
      <c r="A811" s="30"/>
      <c r="B811" s="22" t="s">
        <v>1224</v>
      </c>
      <c r="C811" s="218" t="s">
        <v>1158</v>
      </c>
      <c r="D811" s="12" t="s">
        <v>425</v>
      </c>
      <c r="E811" s="21" t="s">
        <v>34</v>
      </c>
      <c r="F811" s="179">
        <v>22.26</v>
      </c>
      <c r="G811" s="40">
        <v>88.58</v>
      </c>
      <c r="H811" s="40">
        <f t="shared" si="93"/>
        <v>114.33</v>
      </c>
      <c r="I811" s="20">
        <f>F811*H811</f>
        <v>2544.9899999999998</v>
      </c>
      <c r="J811" s="124">
        <f t="shared" si="94"/>
        <v>4.2500000000000003E-3</v>
      </c>
      <c r="K811" s="133"/>
      <c r="L811" s="92"/>
      <c r="M811" s="136"/>
      <c r="N811" s="136"/>
      <c r="O811" s="136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</row>
    <row r="812" spans="1:45" s="32" customFormat="1" ht="51" x14ac:dyDescent="0.2">
      <c r="A812" s="30"/>
      <c r="B812" s="22" t="s">
        <v>1237</v>
      </c>
      <c r="C812" s="218" t="s">
        <v>1159</v>
      </c>
      <c r="D812" s="13" t="s">
        <v>1097</v>
      </c>
      <c r="E812" s="21" t="s">
        <v>34</v>
      </c>
      <c r="F812" s="179">
        <v>0.72</v>
      </c>
      <c r="G812" s="40">
        <v>249.27</v>
      </c>
      <c r="H812" s="40">
        <f t="shared" si="93"/>
        <v>321.73</v>
      </c>
      <c r="I812" s="20">
        <f>F812*H812</f>
        <v>231.65</v>
      </c>
      <c r="J812" s="124">
        <f t="shared" si="94"/>
        <v>3.8999999999999999E-4</v>
      </c>
      <c r="K812" s="133"/>
      <c r="L812" s="92"/>
      <c r="M812" s="136"/>
      <c r="N812" s="136"/>
      <c r="O812" s="136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</row>
    <row r="813" spans="1:45" s="32" customFormat="1" ht="38.25" x14ac:dyDescent="0.2">
      <c r="A813" s="30"/>
      <c r="B813" s="22">
        <v>100721</v>
      </c>
      <c r="C813" s="218" t="s">
        <v>1160</v>
      </c>
      <c r="D813" s="13" t="s">
        <v>1092</v>
      </c>
      <c r="E813" s="21" t="s">
        <v>34</v>
      </c>
      <c r="F813" s="179">
        <v>0.36</v>
      </c>
      <c r="G813" s="40">
        <v>11.51</v>
      </c>
      <c r="H813" s="40">
        <f t="shared" si="93"/>
        <v>14.85</v>
      </c>
      <c r="I813" s="20">
        <f>F813*H813</f>
        <v>5.35</v>
      </c>
      <c r="J813" s="124">
        <f t="shared" si="94"/>
        <v>1.0000000000000001E-5</v>
      </c>
      <c r="K813" s="133"/>
      <c r="L813" s="92"/>
      <c r="M813" s="136"/>
      <c r="N813" s="136"/>
      <c r="O813" s="136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</row>
    <row r="814" spans="1:45" s="32" customFormat="1" ht="38.25" x14ac:dyDescent="0.2">
      <c r="A814" s="30"/>
      <c r="B814" s="22">
        <v>100741</v>
      </c>
      <c r="C814" s="218" t="s">
        <v>1161</v>
      </c>
      <c r="D814" s="13" t="s">
        <v>1095</v>
      </c>
      <c r="E814" s="21" t="s">
        <v>34</v>
      </c>
      <c r="F814" s="179">
        <v>0.72</v>
      </c>
      <c r="G814" s="40">
        <v>11.34</v>
      </c>
      <c r="H814" s="40">
        <f t="shared" si="93"/>
        <v>14.63</v>
      </c>
      <c r="I814" s="20">
        <f>F814*H814</f>
        <v>10.53</v>
      </c>
      <c r="J814" s="124">
        <f t="shared" si="94"/>
        <v>2.0000000000000002E-5</v>
      </c>
      <c r="K814" s="133"/>
      <c r="L814" s="92"/>
      <c r="M814" s="136"/>
      <c r="N814" s="136"/>
      <c r="O814" s="136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</row>
    <row r="815" spans="1:45" s="32" customFormat="1" x14ac:dyDescent="0.2">
      <c r="A815" s="30"/>
      <c r="B815" s="22"/>
      <c r="C815" s="218"/>
      <c r="D815" s="325" t="s">
        <v>1064</v>
      </c>
      <c r="E815" s="325"/>
      <c r="F815" s="325"/>
      <c r="G815" s="325"/>
      <c r="H815" s="326"/>
      <c r="I815" s="110">
        <f>SUM(I805:I814)</f>
        <v>4282.74</v>
      </c>
      <c r="J815" s="124"/>
      <c r="K815" s="133"/>
      <c r="L815" s="92"/>
      <c r="M815" s="136"/>
      <c r="N815" s="136"/>
      <c r="O815" s="136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</row>
    <row r="816" spans="1:45" s="32" customFormat="1" x14ac:dyDescent="0.2">
      <c r="A816" s="30"/>
      <c r="B816" s="22"/>
      <c r="C816" s="229" t="s">
        <v>1062</v>
      </c>
      <c r="D816" s="128" t="s">
        <v>1060</v>
      </c>
      <c r="E816" s="56"/>
      <c r="F816" s="180"/>
      <c r="G816" s="57"/>
      <c r="H816" s="57"/>
      <c r="I816" s="58"/>
      <c r="J816" s="124"/>
      <c r="K816" s="133"/>
      <c r="L816" s="92"/>
      <c r="M816" s="136"/>
      <c r="N816" s="136"/>
      <c r="O816" s="136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</row>
    <row r="817" spans="1:45" s="32" customFormat="1" ht="38.25" x14ac:dyDescent="0.2">
      <c r="A817" s="30"/>
      <c r="B817" s="22">
        <v>94231</v>
      </c>
      <c r="C817" s="218" t="s">
        <v>1162</v>
      </c>
      <c r="D817" s="13" t="s">
        <v>1054</v>
      </c>
      <c r="E817" s="21" t="s">
        <v>37</v>
      </c>
      <c r="F817" s="179">
        <v>90.61</v>
      </c>
      <c r="G817" s="40">
        <v>32.01</v>
      </c>
      <c r="H817" s="40">
        <f t="shared" ref="H817" si="95">TRUNC((G817*(1+$I$6)),2)</f>
        <v>41.31</v>
      </c>
      <c r="I817" s="20">
        <f>F817*H817</f>
        <v>3743.1</v>
      </c>
      <c r="J817" s="124">
        <f>I817/$I$838</f>
        <v>6.2599999999999999E-3</v>
      </c>
      <c r="K817" s="133"/>
      <c r="L817" s="92"/>
      <c r="M817" s="136"/>
      <c r="N817" s="136"/>
      <c r="O817" s="136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</row>
    <row r="818" spans="1:45" s="32" customFormat="1" x14ac:dyDescent="0.2">
      <c r="A818" s="30"/>
      <c r="B818" s="22"/>
      <c r="C818" s="218"/>
      <c r="D818" s="325" t="s">
        <v>1065</v>
      </c>
      <c r="E818" s="325"/>
      <c r="F818" s="325"/>
      <c r="G818" s="325"/>
      <c r="H818" s="326"/>
      <c r="I818" s="110">
        <f>SUM(I817)</f>
        <v>3743.1</v>
      </c>
      <c r="J818" s="124"/>
      <c r="K818" s="133"/>
      <c r="L818" s="92"/>
      <c r="M818" s="136"/>
      <c r="N818" s="136"/>
      <c r="O818" s="136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</row>
    <row r="819" spans="1:45" s="32" customFormat="1" x14ac:dyDescent="0.2">
      <c r="A819" s="30"/>
      <c r="B819" s="22"/>
      <c r="C819" s="246"/>
      <c r="D819" s="220"/>
      <c r="E819" s="220"/>
      <c r="F819" s="220"/>
      <c r="G819" s="290"/>
      <c r="H819" s="232" t="s">
        <v>1066</v>
      </c>
      <c r="I819" s="60">
        <f>SUM(I773,I783,I803,I815,I818)</f>
        <v>47993.599999999999</v>
      </c>
      <c r="J819" s="123">
        <f>I819/$I$838</f>
        <v>8.0240000000000006E-2</v>
      </c>
      <c r="K819" s="133"/>
      <c r="L819" s="92"/>
      <c r="M819" s="136"/>
      <c r="N819" s="136"/>
      <c r="O819" s="136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</row>
    <row r="820" spans="1:45" s="32" customFormat="1" ht="13.5" thickBot="1" x14ac:dyDescent="0.25">
      <c r="A820" s="30"/>
      <c r="B820" s="22"/>
      <c r="C820" s="78"/>
      <c r="D820" s="78"/>
      <c r="E820" s="78"/>
      <c r="F820" s="78"/>
      <c r="G820" s="78"/>
      <c r="H820" s="78"/>
      <c r="I820" s="106"/>
      <c r="J820" s="82"/>
      <c r="K820" s="133"/>
      <c r="L820" s="92"/>
      <c r="M820" s="136"/>
      <c r="N820" s="136"/>
      <c r="O820" s="136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</row>
    <row r="821" spans="1:45" s="32" customFormat="1" ht="13.5" thickBot="1" x14ac:dyDescent="0.25">
      <c r="A821" s="30"/>
      <c r="B821" s="22"/>
      <c r="C821" s="221" t="s">
        <v>345</v>
      </c>
      <c r="D821" s="318" t="s">
        <v>44</v>
      </c>
      <c r="E821" s="319"/>
      <c r="F821" s="319"/>
      <c r="G821" s="319"/>
      <c r="H821" s="319"/>
      <c r="I821" s="320"/>
      <c r="J821" s="49"/>
      <c r="K821" s="133"/>
      <c r="L821" s="92"/>
      <c r="M821" s="136"/>
      <c r="N821" s="136"/>
      <c r="O821" s="136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</row>
    <row r="822" spans="1:45" s="32" customFormat="1" ht="38.25" x14ac:dyDescent="0.2">
      <c r="A822" s="30"/>
      <c r="B822" s="22">
        <v>37539</v>
      </c>
      <c r="C822" s="218" t="s">
        <v>347</v>
      </c>
      <c r="D822" s="70" t="s">
        <v>290</v>
      </c>
      <c r="E822" s="21" t="s">
        <v>35</v>
      </c>
      <c r="F822" s="179">
        <v>3</v>
      </c>
      <c r="G822" s="40">
        <v>13.67</v>
      </c>
      <c r="H822" s="40">
        <f t="shared" ref="H822:H826" si="96">TRUNC((G822*(1+$I$6)),2)</f>
        <v>17.64</v>
      </c>
      <c r="I822" s="20">
        <f>F822*H822</f>
        <v>52.92</v>
      </c>
      <c r="J822" s="124">
        <f t="shared" ref="J822:J827" si="97">I822/$I$838</f>
        <v>9.0000000000000006E-5</v>
      </c>
      <c r="K822" s="133"/>
      <c r="L822" s="92"/>
      <c r="M822" s="136"/>
      <c r="N822" s="136"/>
      <c r="O822" s="136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</row>
    <row r="823" spans="1:45" s="32" customFormat="1" ht="38.25" x14ac:dyDescent="0.2">
      <c r="A823" s="30"/>
      <c r="B823" s="22">
        <v>37539</v>
      </c>
      <c r="C823" s="218" t="s">
        <v>348</v>
      </c>
      <c r="D823" s="70" t="s">
        <v>291</v>
      </c>
      <c r="E823" s="21" t="s">
        <v>35</v>
      </c>
      <c r="F823" s="179">
        <v>2</v>
      </c>
      <c r="G823" s="40">
        <v>13.67</v>
      </c>
      <c r="H823" s="40">
        <f t="shared" si="96"/>
        <v>17.64</v>
      </c>
      <c r="I823" s="20">
        <f>F823*H823</f>
        <v>35.28</v>
      </c>
      <c r="J823" s="124">
        <f t="shared" si="97"/>
        <v>6.0000000000000002E-5</v>
      </c>
      <c r="K823" s="133"/>
      <c r="L823" s="92"/>
      <c r="M823" s="136"/>
      <c r="N823" s="136"/>
      <c r="O823" s="136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</row>
    <row r="824" spans="1:45" s="32" customFormat="1" ht="38.25" x14ac:dyDescent="0.2">
      <c r="A824" s="30"/>
      <c r="B824" s="22" t="s">
        <v>121</v>
      </c>
      <c r="C824" s="218" t="s">
        <v>349</v>
      </c>
      <c r="D824" s="70" t="s">
        <v>1217</v>
      </c>
      <c r="E824" s="21" t="s">
        <v>35</v>
      </c>
      <c r="F824" s="179">
        <v>2</v>
      </c>
      <c r="G824" s="40">
        <v>10</v>
      </c>
      <c r="H824" s="40">
        <f t="shared" si="96"/>
        <v>12.9</v>
      </c>
      <c r="I824" s="20">
        <f>F824*H824</f>
        <v>25.8</v>
      </c>
      <c r="J824" s="124">
        <f t="shared" si="97"/>
        <v>4.0000000000000003E-5</v>
      </c>
      <c r="K824" s="133"/>
      <c r="L824" s="92"/>
      <c r="M824" s="136"/>
      <c r="N824" s="136"/>
      <c r="O824" s="136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</row>
    <row r="825" spans="1:45" s="32" customFormat="1" x14ac:dyDescent="0.2">
      <c r="A825" s="30"/>
      <c r="B825" s="22">
        <v>101908</v>
      </c>
      <c r="C825" s="218" t="s">
        <v>350</v>
      </c>
      <c r="D825" s="13" t="s">
        <v>45</v>
      </c>
      <c r="E825" s="21" t="s">
        <v>35</v>
      </c>
      <c r="F825" s="179">
        <v>2</v>
      </c>
      <c r="G825" s="40">
        <v>89.92</v>
      </c>
      <c r="H825" s="40">
        <f t="shared" si="96"/>
        <v>116.05</v>
      </c>
      <c r="I825" s="20">
        <f>F825*H825</f>
        <v>232.1</v>
      </c>
      <c r="J825" s="124">
        <f t="shared" si="97"/>
        <v>3.8999999999999999E-4</v>
      </c>
      <c r="K825" s="133"/>
      <c r="L825" s="92"/>
      <c r="M825" s="136"/>
      <c r="N825" s="136"/>
      <c r="O825" s="136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</row>
    <row r="826" spans="1:45" s="32" customFormat="1" ht="25.5" x14ac:dyDescent="0.2">
      <c r="A826" s="30"/>
      <c r="B826" s="22" t="s">
        <v>121</v>
      </c>
      <c r="C826" s="218" t="s">
        <v>351</v>
      </c>
      <c r="D826" s="13" t="s">
        <v>1216</v>
      </c>
      <c r="E826" s="21" t="s">
        <v>35</v>
      </c>
      <c r="F826" s="179">
        <v>3</v>
      </c>
      <c r="G826" s="40">
        <v>30.6</v>
      </c>
      <c r="H826" s="40">
        <f t="shared" si="96"/>
        <v>39.49</v>
      </c>
      <c r="I826" s="20">
        <f>F826*H826</f>
        <v>118.47</v>
      </c>
      <c r="J826" s="124">
        <f t="shared" si="97"/>
        <v>2.0000000000000001E-4</v>
      </c>
      <c r="K826" s="133"/>
      <c r="L826" s="92"/>
      <c r="M826" s="136"/>
      <c r="N826" s="136"/>
      <c r="O826" s="136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</row>
    <row r="827" spans="1:45" s="32" customFormat="1" x14ac:dyDescent="0.2">
      <c r="A827" s="34"/>
      <c r="B827" s="22"/>
      <c r="C827" s="246"/>
      <c r="D827" s="77"/>
      <c r="E827" s="174"/>
      <c r="F827" s="174"/>
      <c r="G827" s="290"/>
      <c r="H827" s="219" t="s">
        <v>352</v>
      </c>
      <c r="I827" s="60">
        <f>SUM(I822:I826)</f>
        <v>464.57</v>
      </c>
      <c r="J827" s="123">
        <f t="shared" si="97"/>
        <v>7.7999999999999999E-4</v>
      </c>
      <c r="K827" s="133"/>
      <c r="L827" s="94"/>
      <c r="M827" s="93"/>
      <c r="N827" s="93"/>
      <c r="O827" s="93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</row>
    <row r="828" spans="1:45" s="32" customFormat="1" ht="13.5" thickBot="1" x14ac:dyDescent="0.25">
      <c r="A828" s="34"/>
      <c r="B828" s="22"/>
      <c r="C828" s="78"/>
      <c r="D828" s="78"/>
      <c r="E828" s="78"/>
      <c r="F828" s="78"/>
      <c r="G828" s="78"/>
      <c r="H828" s="78"/>
      <c r="I828" s="106"/>
      <c r="J828" s="82"/>
      <c r="K828" s="133"/>
      <c r="L828" s="94"/>
      <c r="M828" s="93"/>
      <c r="N828" s="93"/>
      <c r="O828" s="93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</row>
    <row r="829" spans="1:45" s="32" customFormat="1" ht="13.5" thickBot="1" x14ac:dyDescent="0.25">
      <c r="A829" s="34"/>
      <c r="B829" s="22"/>
      <c r="C829" s="221" t="s">
        <v>346</v>
      </c>
      <c r="D829" s="318" t="s">
        <v>72</v>
      </c>
      <c r="E829" s="319"/>
      <c r="F829" s="319"/>
      <c r="G829" s="319"/>
      <c r="H829" s="319"/>
      <c r="I829" s="320"/>
      <c r="J829" s="49"/>
      <c r="K829" s="133"/>
      <c r="L829" s="94"/>
      <c r="M829" s="93"/>
      <c r="N829" s="93"/>
      <c r="O829" s="93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</row>
    <row r="830" spans="1:45" s="32" customFormat="1" ht="25.5" x14ac:dyDescent="0.2">
      <c r="A830" s="34"/>
      <c r="B830" s="22">
        <v>10849</v>
      </c>
      <c r="C830" s="218" t="s">
        <v>1044</v>
      </c>
      <c r="D830" s="13" t="s">
        <v>73</v>
      </c>
      <c r="E830" s="21" t="s">
        <v>35</v>
      </c>
      <c r="F830" s="59">
        <v>1</v>
      </c>
      <c r="G830" s="40">
        <v>903.5</v>
      </c>
      <c r="H830" s="40">
        <f t="shared" ref="H830:H835" si="98">TRUNC((G830*(1+$I$6)),2)</f>
        <v>1166.1400000000001</v>
      </c>
      <c r="I830" s="20">
        <f>F830*H830</f>
        <v>1166.1400000000001</v>
      </c>
      <c r="J830" s="124">
        <f t="shared" ref="J830:J836" si="99">I830/$I$838</f>
        <v>1.9499999999999999E-3</v>
      </c>
      <c r="K830" s="133"/>
      <c r="L830" s="94"/>
      <c r="M830" s="93"/>
      <c r="N830" s="93"/>
      <c r="O830" s="93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</row>
    <row r="831" spans="1:45" s="32" customFormat="1" ht="25.5" x14ac:dyDescent="0.2">
      <c r="A831" s="34"/>
      <c r="B831" s="22">
        <v>39664</v>
      </c>
      <c r="C831" s="218" t="s">
        <v>1045</v>
      </c>
      <c r="D831" s="13" t="s">
        <v>1086</v>
      </c>
      <c r="E831" s="21" t="s">
        <v>34</v>
      </c>
      <c r="F831" s="59">
        <v>15.5</v>
      </c>
      <c r="G831" s="40">
        <v>16.170000000000002</v>
      </c>
      <c r="H831" s="40">
        <f t="shared" si="98"/>
        <v>20.87</v>
      </c>
      <c r="I831" s="20">
        <f>F831*H831</f>
        <v>323.49</v>
      </c>
      <c r="J831" s="124">
        <f t="shared" si="99"/>
        <v>5.4000000000000001E-4</v>
      </c>
      <c r="K831" s="133"/>
      <c r="L831" s="94"/>
      <c r="M831" s="93"/>
      <c r="N831" s="93"/>
      <c r="O831" s="93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</row>
    <row r="832" spans="1:45" s="32" customFormat="1" ht="38.25" x14ac:dyDescent="0.2">
      <c r="A832" s="34"/>
      <c r="B832" s="22">
        <v>100788</v>
      </c>
      <c r="C832" s="218" t="s">
        <v>1046</v>
      </c>
      <c r="D832" s="13" t="s">
        <v>1087</v>
      </c>
      <c r="E832" s="21" t="s">
        <v>35</v>
      </c>
      <c r="F832" s="59">
        <v>1</v>
      </c>
      <c r="G832" s="40">
        <v>340.12</v>
      </c>
      <c r="H832" s="40">
        <f t="shared" si="98"/>
        <v>438.99</v>
      </c>
      <c r="I832" s="20">
        <f>F832*H832</f>
        <v>438.99</v>
      </c>
      <c r="J832" s="124">
        <f t="shared" si="99"/>
        <v>7.2999999999999996E-4</v>
      </c>
      <c r="K832" s="133"/>
      <c r="L832" s="94"/>
      <c r="M832" s="93"/>
      <c r="N832" s="93"/>
      <c r="O832" s="93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</row>
    <row r="833" spans="1:45" s="32" customFormat="1" ht="25.5" x14ac:dyDescent="0.2">
      <c r="A833" s="34"/>
      <c r="B833" s="22">
        <v>101917</v>
      </c>
      <c r="C833" s="218" t="s">
        <v>1047</v>
      </c>
      <c r="D833" s="12" t="s">
        <v>1088</v>
      </c>
      <c r="E833" s="21" t="s">
        <v>35</v>
      </c>
      <c r="F833" s="59">
        <v>1</v>
      </c>
      <c r="G833" s="40">
        <v>73.400000000000006</v>
      </c>
      <c r="H833" s="40">
        <f t="shared" si="98"/>
        <v>94.73</v>
      </c>
      <c r="I833" s="20">
        <f>F833*H833</f>
        <v>94.73</v>
      </c>
      <c r="J833" s="124">
        <f t="shared" si="99"/>
        <v>1.6000000000000001E-4</v>
      </c>
      <c r="K833" s="133"/>
      <c r="L833" s="94"/>
      <c r="M833" s="93"/>
      <c r="N833" s="93"/>
      <c r="O833" s="93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</row>
    <row r="834" spans="1:45" s="32" customFormat="1" ht="38.25" x14ac:dyDescent="0.2">
      <c r="A834" s="34"/>
      <c r="B834" s="105">
        <v>91341</v>
      </c>
      <c r="C834" s="218" t="s">
        <v>1048</v>
      </c>
      <c r="D834" s="76" t="s">
        <v>1169</v>
      </c>
      <c r="E834" s="21" t="s">
        <v>34</v>
      </c>
      <c r="F834" s="179">
        <v>1.8</v>
      </c>
      <c r="G834" s="40">
        <v>517.35</v>
      </c>
      <c r="H834" s="40">
        <f t="shared" si="98"/>
        <v>667.74</v>
      </c>
      <c r="I834" s="20">
        <f>F834*H834</f>
        <v>1201.93</v>
      </c>
      <c r="J834" s="124">
        <f t="shared" si="99"/>
        <v>2.0100000000000001E-3</v>
      </c>
      <c r="K834" s="133"/>
      <c r="L834" s="94"/>
      <c r="M834" s="93"/>
      <c r="N834" s="93"/>
      <c r="O834" s="93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</row>
    <row r="835" spans="1:45" s="32" customFormat="1" x14ac:dyDescent="0.2">
      <c r="A835" s="34"/>
      <c r="B835" s="22" t="s">
        <v>1228</v>
      </c>
      <c r="C835" s="218" t="s">
        <v>1049</v>
      </c>
      <c r="D835" s="13" t="s">
        <v>74</v>
      </c>
      <c r="E835" s="59" t="s">
        <v>34</v>
      </c>
      <c r="F835" s="59">
        <v>406.61</v>
      </c>
      <c r="G835" s="40">
        <v>1.49</v>
      </c>
      <c r="H835" s="40">
        <f t="shared" si="98"/>
        <v>1.92</v>
      </c>
      <c r="I835" s="20">
        <f>F835*H835</f>
        <v>780.69</v>
      </c>
      <c r="J835" s="124">
        <f t="shared" si="99"/>
        <v>1.31E-3</v>
      </c>
      <c r="K835" s="133"/>
      <c r="L835" s="94"/>
      <c r="M835" s="93"/>
      <c r="N835" s="93"/>
      <c r="O835" s="93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</row>
    <row r="836" spans="1:45" s="32" customFormat="1" x14ac:dyDescent="0.2">
      <c r="A836" s="34"/>
      <c r="B836" s="22"/>
      <c r="C836" s="324" t="s">
        <v>413</v>
      </c>
      <c r="D836" s="324"/>
      <c r="E836" s="324"/>
      <c r="F836" s="324"/>
      <c r="G836" s="324"/>
      <c r="H836" s="324"/>
      <c r="I836" s="100">
        <f>SUM(I830:I835)</f>
        <v>4005.97</v>
      </c>
      <c r="J836" s="123">
        <f t="shared" si="99"/>
        <v>6.7000000000000002E-3</v>
      </c>
      <c r="K836" s="133"/>
      <c r="L836" s="94"/>
      <c r="M836" s="93"/>
      <c r="N836" s="93"/>
      <c r="O836" s="93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</row>
    <row r="837" spans="1:45" s="32" customFormat="1" x14ac:dyDescent="0.2">
      <c r="A837" s="30"/>
      <c r="B837" s="62"/>
      <c r="C837" s="250"/>
      <c r="D837" s="63"/>
      <c r="E837" s="64"/>
      <c r="F837" s="183"/>
      <c r="G837" s="210"/>
      <c r="H837" s="210"/>
      <c r="I837" s="66"/>
      <c r="J837" s="45"/>
      <c r="K837" s="133"/>
      <c r="L837" s="94"/>
      <c r="M837" s="93"/>
      <c r="N837" s="93"/>
      <c r="O837" s="93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</row>
    <row r="838" spans="1:45" s="32" customFormat="1" ht="15.75" x14ac:dyDescent="0.2">
      <c r="A838" s="30"/>
      <c r="B838" s="62"/>
      <c r="C838" s="211"/>
      <c r="D838" s="101"/>
      <c r="E838" s="101"/>
      <c r="F838" s="101"/>
      <c r="G838" s="101"/>
      <c r="H838" s="211" t="s">
        <v>140</v>
      </c>
      <c r="I838" s="102">
        <f>SUM(I16,I36,I69,I75,I575,I594,I621,I684,I697,I710,I738,I766,I819,I827,I836)</f>
        <v>598129.88</v>
      </c>
      <c r="J838" s="45">
        <f>SUM(J16,J69,J75,J575,J594,J621,J684,J697,J738,J766,J827,J836,J819,J710,J36)</f>
        <v>1</v>
      </c>
      <c r="K838" s="133"/>
      <c r="L838" s="143">
        <f>I838/406.61</f>
        <v>1471.02</v>
      </c>
      <c r="M838" s="93">
        <f>100-(I838*100/914751.99)</f>
        <v>34.61</v>
      </c>
      <c r="N838" s="93"/>
      <c r="O838" s="93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</row>
    <row r="839" spans="1:45" s="32" customFormat="1" x14ac:dyDescent="0.2">
      <c r="A839" s="30"/>
      <c r="B839" s="62"/>
      <c r="C839" s="250"/>
      <c r="D839" s="63"/>
      <c r="E839" s="64"/>
      <c r="F839" s="183"/>
      <c r="G839" s="210"/>
      <c r="H839" s="210"/>
      <c r="I839" s="66"/>
      <c r="J839" s="45"/>
      <c r="K839" s="133"/>
      <c r="L839" s="176" t="s">
        <v>112</v>
      </c>
      <c r="M839" s="93"/>
      <c r="N839" s="93"/>
      <c r="O839" s="93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</row>
    <row r="840" spans="1:45" s="32" customFormat="1" x14ac:dyDescent="0.2">
      <c r="A840" s="30"/>
      <c r="B840" s="62"/>
      <c r="C840" s="250"/>
      <c r="D840" s="63"/>
      <c r="E840" s="64"/>
      <c r="F840" s="183"/>
      <c r="G840" s="210"/>
      <c r="H840" s="210"/>
      <c r="I840" s="66"/>
      <c r="J840" s="45"/>
      <c r="K840" s="133"/>
      <c r="L840" s="94"/>
      <c r="M840" s="93"/>
      <c r="N840" s="93"/>
      <c r="O840" s="93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</row>
    <row r="841" spans="1:45" s="32" customFormat="1" x14ac:dyDescent="0.2">
      <c r="A841" s="30"/>
      <c r="B841" s="62"/>
      <c r="C841" s="250"/>
      <c r="D841" s="63"/>
      <c r="E841" s="64"/>
      <c r="F841" s="183"/>
      <c r="G841" s="210"/>
      <c r="H841" s="210"/>
      <c r="I841" s="66"/>
      <c r="J841" s="45"/>
      <c r="K841" s="133"/>
      <c r="L841" s="94"/>
      <c r="M841" s="93"/>
      <c r="N841" s="93"/>
      <c r="O841" s="93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</row>
    <row r="842" spans="1:45" s="32" customFormat="1" x14ac:dyDescent="0.2">
      <c r="A842" s="30"/>
      <c r="B842" s="62"/>
      <c r="C842" s="250"/>
      <c r="D842" s="63"/>
      <c r="E842" s="64"/>
      <c r="F842" s="183"/>
      <c r="G842" s="210"/>
      <c r="H842" s="210"/>
      <c r="I842" s="66"/>
      <c r="J842" s="45"/>
      <c r="K842" s="133"/>
      <c r="L842" s="94"/>
      <c r="M842" s="93"/>
      <c r="N842" s="93"/>
      <c r="O842" s="93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  <c r="AN842" s="95"/>
      <c r="AO842" s="95"/>
      <c r="AP842" s="95"/>
      <c r="AQ842" s="95"/>
      <c r="AR842" s="95"/>
      <c r="AS842" s="95"/>
    </row>
    <row r="843" spans="1:45" s="32" customFormat="1" x14ac:dyDescent="0.2">
      <c r="A843" s="30"/>
      <c r="B843" s="62"/>
      <c r="C843" s="251"/>
      <c r="D843" s="61"/>
      <c r="E843" s="61"/>
      <c r="F843" s="61"/>
      <c r="G843" s="61"/>
      <c r="H843" s="61"/>
      <c r="I843" s="67"/>
      <c r="J843" s="45"/>
      <c r="K843" s="133"/>
      <c r="L843" s="94"/>
      <c r="M843" s="93"/>
      <c r="N843" s="93"/>
      <c r="O843" s="93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  <c r="AN843" s="95"/>
      <c r="AO843" s="95"/>
      <c r="AP843" s="95"/>
      <c r="AQ843" s="95"/>
      <c r="AR843" s="95"/>
      <c r="AS843" s="95"/>
    </row>
    <row r="844" spans="1:45" s="32" customFormat="1" x14ac:dyDescent="0.2">
      <c r="A844" s="30"/>
      <c r="B844" s="62"/>
      <c r="C844" s="252"/>
      <c r="D844" s="35" t="s">
        <v>30</v>
      </c>
      <c r="E844" s="39"/>
      <c r="F844" s="184"/>
      <c r="G844" s="212"/>
      <c r="H844" s="212"/>
      <c r="I844" s="50">
        <f>IF(B844=0,0,F844*G844)</f>
        <v>0</v>
      </c>
      <c r="J844" s="45"/>
      <c r="K844" s="133"/>
      <c r="L844" s="94"/>
      <c r="M844" s="93"/>
      <c r="N844" s="93"/>
      <c r="O844" s="93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  <c r="AN844" s="95"/>
      <c r="AO844" s="95"/>
      <c r="AP844" s="95"/>
      <c r="AQ844" s="95"/>
      <c r="AR844" s="95"/>
      <c r="AS844" s="95"/>
    </row>
    <row r="845" spans="1:45" s="32" customFormat="1" x14ac:dyDescent="0.2">
      <c r="A845" s="30"/>
      <c r="B845" s="62"/>
      <c r="C845" s="252"/>
      <c r="D845" s="36" t="s">
        <v>79</v>
      </c>
      <c r="E845" s="39"/>
      <c r="F845" s="184"/>
      <c r="G845" s="212"/>
      <c r="H845" s="212"/>
      <c r="I845" s="50">
        <f>IF(B845=0,0,F845*G845)</f>
        <v>0</v>
      </c>
      <c r="J845" s="45"/>
      <c r="K845" s="133"/>
      <c r="L845" s="94"/>
      <c r="M845" s="93"/>
      <c r="N845" s="93"/>
      <c r="O845" s="93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  <c r="AN845" s="95"/>
      <c r="AO845" s="95"/>
      <c r="AP845" s="95"/>
      <c r="AQ845" s="95"/>
      <c r="AR845" s="95"/>
      <c r="AS845" s="95"/>
    </row>
    <row r="846" spans="1:45" s="32" customFormat="1" x14ac:dyDescent="0.2">
      <c r="A846" s="30"/>
      <c r="B846" s="62"/>
      <c r="C846" s="252"/>
      <c r="D846" s="107" t="s">
        <v>80</v>
      </c>
      <c r="E846" s="39"/>
      <c r="F846" s="184"/>
      <c r="G846" s="212"/>
      <c r="H846" s="212"/>
      <c r="I846" s="50">
        <f>IF(B846=0,0,F846*G846)</f>
        <v>0</v>
      </c>
      <c r="J846" s="45"/>
      <c r="K846" s="133"/>
      <c r="L846" s="94"/>
      <c r="M846" s="93"/>
      <c r="N846" s="93"/>
      <c r="O846" s="93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  <c r="AN846" s="95"/>
      <c r="AO846" s="95"/>
      <c r="AP846" s="95"/>
      <c r="AQ846" s="95"/>
      <c r="AR846" s="95"/>
      <c r="AS846" s="95"/>
    </row>
    <row r="847" spans="1:45" s="32" customFormat="1" x14ac:dyDescent="0.2">
      <c r="A847" s="30"/>
      <c r="B847" s="62"/>
      <c r="C847" s="252"/>
      <c r="D847" s="107" t="s">
        <v>31</v>
      </c>
      <c r="E847" s="39"/>
      <c r="F847" s="184"/>
      <c r="G847" s="212"/>
      <c r="H847" s="212"/>
      <c r="I847" s="50">
        <f>IF(B847=0,0,F847*G847)</f>
        <v>0</v>
      </c>
      <c r="J847" s="45"/>
      <c r="K847" s="133"/>
      <c r="L847" s="94"/>
      <c r="M847" s="93"/>
      <c r="N847" s="93"/>
      <c r="O847" s="93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  <c r="AN847" s="95"/>
      <c r="AO847" s="95"/>
      <c r="AP847" s="95"/>
      <c r="AQ847" s="95"/>
      <c r="AR847" s="95"/>
      <c r="AS847" s="95"/>
    </row>
    <row r="848" spans="1:45" s="32" customFormat="1" x14ac:dyDescent="0.2">
      <c r="A848" s="30"/>
      <c r="B848" s="65"/>
      <c r="C848" s="230"/>
      <c r="D848" s="37"/>
      <c r="E848" s="37"/>
      <c r="F848" s="185"/>
      <c r="G848" s="213"/>
      <c r="H848" s="213"/>
      <c r="I848" s="51">
        <f>IF(B848=0,0,F848*G848)</f>
        <v>0</v>
      </c>
      <c r="J848" s="99"/>
      <c r="K848" s="133"/>
      <c r="L848" s="94"/>
      <c r="M848" s="93"/>
      <c r="N848" s="93"/>
      <c r="O848" s="93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  <c r="AN848" s="95"/>
      <c r="AO848" s="95"/>
      <c r="AP848" s="95"/>
      <c r="AQ848" s="95"/>
      <c r="AR848" s="95"/>
      <c r="AS848" s="95"/>
    </row>
    <row r="849" spans="1:49" s="32" customFormat="1" x14ac:dyDescent="0.2">
      <c r="A849" s="34"/>
      <c r="B849" s="80"/>
      <c r="C849" s="253"/>
      <c r="D849" s="89"/>
      <c r="E849" s="89"/>
      <c r="F849" s="184"/>
      <c r="G849" s="294"/>
      <c r="H849" s="293"/>
      <c r="I849" s="90">
        <f>IF(B849=0,0,F849*G849)</f>
        <v>0</v>
      </c>
      <c r="J849" s="91"/>
      <c r="K849" s="93"/>
      <c r="L849" s="94"/>
      <c r="M849" s="93"/>
      <c r="N849" s="93"/>
      <c r="O849" s="93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  <c r="AN849" s="95"/>
      <c r="AO849" s="95"/>
      <c r="AP849" s="95"/>
      <c r="AQ849" s="95"/>
      <c r="AR849" s="95"/>
      <c r="AS849" s="95"/>
      <c r="AT849" s="95"/>
      <c r="AU849" s="95"/>
      <c r="AV849" s="95"/>
      <c r="AW849" s="95"/>
    </row>
    <row r="850" spans="1:49" x14ac:dyDescent="0.2">
      <c r="B850" s="80"/>
      <c r="C850" s="253"/>
      <c r="D850" s="89"/>
      <c r="E850" s="89"/>
      <c r="F850" s="184"/>
      <c r="G850" s="212"/>
      <c r="H850" s="212"/>
      <c r="I850" s="90">
        <f>IF(B850=0,0,F850*G850)</f>
        <v>0</v>
      </c>
      <c r="J850" s="96"/>
      <c r="K850" s="97"/>
      <c r="AT850" s="97"/>
      <c r="AU850" s="97"/>
      <c r="AV850" s="97"/>
      <c r="AW850" s="97"/>
    </row>
    <row r="851" spans="1:49" x14ac:dyDescent="0.2">
      <c r="B851" s="111"/>
      <c r="C851" s="253"/>
      <c r="D851" s="126"/>
      <c r="E851" s="64"/>
      <c r="F851" s="186"/>
      <c r="G851" s="214"/>
      <c r="H851" s="214"/>
      <c r="I851" s="98"/>
      <c r="J851" s="96"/>
      <c r="K851" s="97"/>
      <c r="AT851" s="97"/>
      <c r="AU851" s="97"/>
      <c r="AV851" s="97"/>
      <c r="AW851" s="97"/>
    </row>
    <row r="852" spans="1:49" x14ac:dyDescent="0.2">
      <c r="B852" s="111"/>
      <c r="C852" s="253"/>
      <c r="D852" s="112"/>
      <c r="E852" s="64"/>
      <c r="F852" s="186"/>
      <c r="G852" s="214"/>
      <c r="H852" s="214"/>
      <c r="I852" s="98"/>
      <c r="J852" s="96"/>
      <c r="K852" s="97"/>
      <c r="AT852" s="97"/>
      <c r="AU852" s="97"/>
      <c r="AV852" s="97"/>
      <c r="AW852" s="97"/>
    </row>
    <row r="853" spans="1:49" x14ac:dyDescent="0.2">
      <c r="B853" s="111"/>
      <c r="C853" s="253"/>
      <c r="D853" s="112"/>
      <c r="E853" s="64"/>
      <c r="F853" s="186"/>
      <c r="G853" s="214"/>
      <c r="H853" s="214"/>
      <c r="I853" s="98"/>
      <c r="J853" s="96"/>
      <c r="K853" s="97"/>
      <c r="AT853" s="97"/>
      <c r="AU853" s="97"/>
      <c r="AV853" s="97"/>
      <c r="AW853" s="97"/>
    </row>
    <row r="854" spans="1:49" x14ac:dyDescent="0.2">
      <c r="B854" s="113"/>
      <c r="C854" s="248"/>
      <c r="D854" s="114"/>
      <c r="E854" s="177"/>
      <c r="F854" s="187"/>
      <c r="G854" s="215"/>
      <c r="H854" s="215"/>
    </row>
    <row r="855" spans="1:49" x14ac:dyDescent="0.2">
      <c r="B855" s="113"/>
      <c r="C855" s="248"/>
      <c r="D855" s="114"/>
      <c r="E855" s="177"/>
      <c r="F855" s="187"/>
      <c r="G855" s="215"/>
      <c r="H855" s="215"/>
    </row>
    <row r="856" spans="1:49" x14ac:dyDescent="0.2">
      <c r="B856" s="113"/>
      <c r="C856" s="248"/>
      <c r="D856" s="114"/>
      <c r="E856" s="177"/>
      <c r="F856" s="187"/>
      <c r="G856" s="215"/>
      <c r="H856" s="215"/>
    </row>
    <row r="857" spans="1:49" x14ac:dyDescent="0.2">
      <c r="B857" s="113"/>
      <c r="C857" s="248"/>
      <c r="D857" s="114"/>
      <c r="E857" s="177"/>
      <c r="F857" s="187"/>
      <c r="G857" s="215"/>
      <c r="H857" s="215"/>
    </row>
    <row r="858" spans="1:49" x14ac:dyDescent="0.2">
      <c r="B858" s="113"/>
      <c r="C858" s="248"/>
      <c r="D858" s="114"/>
      <c r="E858" s="177"/>
      <c r="F858" s="187"/>
      <c r="G858" s="215"/>
      <c r="H858" s="215"/>
    </row>
    <row r="859" spans="1:49" x14ac:dyDescent="0.2">
      <c r="B859" s="113"/>
      <c r="C859" s="248"/>
      <c r="D859" s="114"/>
      <c r="E859" s="177"/>
      <c r="F859" s="187"/>
      <c r="G859" s="215"/>
      <c r="H859" s="215"/>
    </row>
    <row r="860" spans="1:49" x14ac:dyDescent="0.2">
      <c r="B860" s="113"/>
      <c r="C860" s="248"/>
      <c r="D860" s="114"/>
      <c r="E860" s="177"/>
      <c r="F860" s="187"/>
      <c r="G860" s="215"/>
      <c r="H860" s="215"/>
    </row>
    <row r="861" spans="1:49" x14ac:dyDescent="0.2">
      <c r="B861" s="113"/>
      <c r="C861" s="248"/>
      <c r="D861" s="114"/>
      <c r="E861" s="177"/>
      <c r="F861" s="187"/>
      <c r="G861" s="215"/>
      <c r="H861" s="215"/>
    </row>
    <row r="862" spans="1:49" x14ac:dyDescent="0.2">
      <c r="B862" s="113"/>
      <c r="C862" s="248"/>
      <c r="D862" s="114"/>
      <c r="E862" s="177"/>
      <c r="F862" s="187"/>
      <c r="G862" s="215"/>
      <c r="H862" s="215"/>
    </row>
    <row r="863" spans="1:49" x14ac:dyDescent="0.2">
      <c r="B863" s="113"/>
      <c r="C863" s="248"/>
      <c r="D863" s="114"/>
      <c r="E863" s="177"/>
      <c r="F863" s="187"/>
      <c r="G863" s="215"/>
      <c r="H863" s="215"/>
    </row>
    <row r="864" spans="1:49" x14ac:dyDescent="0.2">
      <c r="B864" s="113"/>
      <c r="C864" s="248"/>
      <c r="D864" s="114"/>
      <c r="E864" s="177"/>
      <c r="F864" s="187"/>
      <c r="G864" s="215"/>
      <c r="H864" s="215"/>
    </row>
    <row r="865" spans="2:8" x14ac:dyDescent="0.2">
      <c r="B865" s="113"/>
      <c r="C865" s="248"/>
      <c r="D865" s="114"/>
      <c r="E865" s="177"/>
      <c r="F865" s="187"/>
      <c r="G865" s="215"/>
      <c r="H865" s="215"/>
    </row>
    <row r="866" spans="2:8" x14ac:dyDescent="0.2">
      <c r="B866" s="113"/>
      <c r="C866" s="248"/>
      <c r="D866" s="114"/>
      <c r="E866" s="177"/>
      <c r="F866" s="187"/>
      <c r="G866" s="215"/>
      <c r="H866" s="215"/>
    </row>
    <row r="867" spans="2:8" x14ac:dyDescent="0.2">
      <c r="B867" s="113"/>
      <c r="C867" s="248"/>
      <c r="D867" s="114"/>
      <c r="E867" s="177"/>
      <c r="F867" s="187"/>
      <c r="G867" s="215"/>
      <c r="H867" s="215"/>
    </row>
    <row r="868" spans="2:8" x14ac:dyDescent="0.2">
      <c r="B868" s="113"/>
      <c r="C868" s="248"/>
      <c r="D868" s="114"/>
      <c r="E868" s="177"/>
      <c r="F868" s="187"/>
      <c r="G868" s="215"/>
      <c r="H868" s="215"/>
    </row>
    <row r="869" spans="2:8" x14ac:dyDescent="0.2">
      <c r="B869" s="113"/>
      <c r="C869" s="248"/>
      <c r="D869" s="114"/>
      <c r="E869" s="177"/>
      <c r="F869" s="187"/>
      <c r="G869" s="215"/>
      <c r="H869" s="215"/>
    </row>
    <row r="870" spans="2:8" x14ac:dyDescent="0.2">
      <c r="B870" s="113"/>
      <c r="C870" s="248"/>
      <c r="D870" s="114"/>
      <c r="E870" s="177"/>
      <c r="F870" s="187"/>
      <c r="G870" s="215"/>
      <c r="H870" s="215"/>
    </row>
    <row r="871" spans="2:8" x14ac:dyDescent="0.2">
      <c r="B871" s="113"/>
      <c r="C871" s="248"/>
      <c r="D871" s="114"/>
      <c r="E871" s="177"/>
      <c r="F871" s="187"/>
      <c r="G871" s="215"/>
      <c r="H871" s="215"/>
    </row>
    <row r="872" spans="2:8" x14ac:dyDescent="0.2">
      <c r="B872" s="113"/>
      <c r="C872" s="248"/>
      <c r="D872" s="114"/>
      <c r="E872" s="177"/>
      <c r="F872" s="187"/>
      <c r="G872" s="215"/>
      <c r="H872" s="215"/>
    </row>
    <row r="873" spans="2:8" x14ac:dyDescent="0.2">
      <c r="B873" s="113"/>
      <c r="C873" s="248"/>
      <c r="D873" s="114"/>
      <c r="E873" s="177"/>
      <c r="F873" s="187"/>
      <c r="G873" s="215"/>
      <c r="H873" s="215"/>
    </row>
    <row r="874" spans="2:8" x14ac:dyDescent="0.2">
      <c r="B874" s="113"/>
      <c r="C874" s="248"/>
      <c r="D874" s="114"/>
      <c r="E874" s="177"/>
      <c r="F874" s="187"/>
      <c r="G874" s="215"/>
      <c r="H874" s="215"/>
    </row>
    <row r="875" spans="2:8" x14ac:dyDescent="0.2">
      <c r="B875" s="113"/>
      <c r="C875" s="248"/>
      <c r="D875" s="114"/>
      <c r="E875" s="177"/>
      <c r="F875" s="187"/>
      <c r="G875" s="215"/>
      <c r="H875" s="215"/>
    </row>
    <row r="876" spans="2:8" x14ac:dyDescent="0.2">
      <c r="B876" s="113"/>
      <c r="C876" s="248"/>
      <c r="D876" s="114"/>
      <c r="E876" s="177"/>
      <c r="F876" s="187"/>
      <c r="G876" s="215"/>
      <c r="H876" s="215"/>
    </row>
    <row r="877" spans="2:8" x14ac:dyDescent="0.2">
      <c r="B877" s="113"/>
      <c r="C877" s="248"/>
      <c r="D877" s="114"/>
      <c r="E877" s="177"/>
      <c r="F877" s="187"/>
      <c r="G877" s="215"/>
      <c r="H877" s="215"/>
    </row>
    <row r="878" spans="2:8" x14ac:dyDescent="0.2">
      <c r="B878" s="113"/>
      <c r="C878" s="248"/>
      <c r="D878" s="114"/>
      <c r="E878" s="177"/>
      <c r="F878" s="187"/>
      <c r="G878" s="215"/>
      <c r="H878" s="215"/>
    </row>
    <row r="879" spans="2:8" x14ac:dyDescent="0.2">
      <c r="B879" s="113"/>
      <c r="C879" s="248"/>
      <c r="D879" s="114"/>
      <c r="E879" s="177"/>
      <c r="F879" s="187"/>
      <c r="G879" s="215"/>
      <c r="H879" s="215"/>
    </row>
    <row r="880" spans="2:8" x14ac:dyDescent="0.2">
      <c r="B880" s="113"/>
      <c r="C880" s="248"/>
      <c r="D880" s="114"/>
      <c r="E880" s="177"/>
      <c r="F880" s="187"/>
      <c r="G880" s="215"/>
      <c r="H880" s="215"/>
    </row>
    <row r="881" spans="2:8" x14ac:dyDescent="0.2">
      <c r="B881" s="113"/>
      <c r="C881" s="248"/>
      <c r="D881" s="114"/>
      <c r="E881" s="177"/>
      <c r="F881" s="187"/>
      <c r="G881" s="215"/>
      <c r="H881" s="215"/>
    </row>
    <row r="882" spans="2:8" x14ac:dyDescent="0.2">
      <c r="B882" s="113"/>
      <c r="C882" s="248"/>
      <c r="D882" s="114"/>
      <c r="E882" s="177"/>
      <c r="F882" s="187"/>
      <c r="G882" s="215"/>
      <c r="H882" s="215"/>
    </row>
    <row r="883" spans="2:8" x14ac:dyDescent="0.2">
      <c r="B883" s="113"/>
      <c r="C883" s="248"/>
      <c r="D883" s="114"/>
      <c r="E883" s="177"/>
      <c r="F883" s="187"/>
      <c r="G883" s="215"/>
      <c r="H883" s="215"/>
    </row>
    <row r="884" spans="2:8" x14ac:dyDescent="0.2">
      <c r="B884" s="113"/>
      <c r="C884" s="248"/>
      <c r="D884" s="114"/>
      <c r="E884" s="177"/>
      <c r="F884" s="187"/>
      <c r="G884" s="215"/>
      <c r="H884" s="215"/>
    </row>
    <row r="885" spans="2:8" x14ac:dyDescent="0.2">
      <c r="B885" s="113"/>
      <c r="C885" s="248"/>
      <c r="D885" s="114"/>
      <c r="E885" s="177"/>
      <c r="F885" s="187"/>
      <c r="G885" s="215"/>
      <c r="H885" s="215"/>
    </row>
    <row r="886" spans="2:8" x14ac:dyDescent="0.2">
      <c r="B886" s="113"/>
      <c r="C886" s="248"/>
      <c r="D886" s="114"/>
      <c r="E886" s="177"/>
      <c r="F886" s="187"/>
      <c r="G886" s="215"/>
      <c r="H886" s="215"/>
    </row>
    <row r="887" spans="2:8" x14ac:dyDescent="0.2">
      <c r="B887" s="113"/>
      <c r="C887" s="248"/>
      <c r="D887" s="114"/>
      <c r="E887" s="177"/>
      <c r="F887" s="187"/>
      <c r="G887" s="215"/>
      <c r="H887" s="215"/>
    </row>
    <row r="888" spans="2:8" x14ac:dyDescent="0.2">
      <c r="B888" s="113"/>
      <c r="C888" s="248"/>
      <c r="D888" s="114"/>
      <c r="E888" s="177"/>
      <c r="F888" s="187"/>
      <c r="G888" s="215"/>
      <c r="H888" s="215"/>
    </row>
    <row r="889" spans="2:8" x14ac:dyDescent="0.2">
      <c r="B889" s="113"/>
      <c r="C889" s="248"/>
      <c r="D889" s="114"/>
      <c r="E889" s="177"/>
      <c r="F889" s="187"/>
      <c r="G889" s="215"/>
      <c r="H889" s="215"/>
    </row>
    <row r="890" spans="2:8" x14ac:dyDescent="0.2">
      <c r="B890" s="113"/>
      <c r="C890" s="248"/>
      <c r="D890" s="114"/>
      <c r="E890" s="177"/>
      <c r="F890" s="187"/>
      <c r="G890" s="215"/>
      <c r="H890" s="215"/>
    </row>
    <row r="891" spans="2:8" x14ac:dyDescent="0.2">
      <c r="B891" s="113"/>
      <c r="C891" s="248"/>
      <c r="D891" s="114"/>
      <c r="E891" s="177"/>
      <c r="F891" s="187"/>
      <c r="G891" s="215"/>
      <c r="H891" s="215"/>
    </row>
    <row r="892" spans="2:8" x14ac:dyDescent="0.2">
      <c r="B892" s="113"/>
      <c r="C892" s="248"/>
      <c r="D892" s="114"/>
      <c r="E892" s="177"/>
      <c r="F892" s="187"/>
      <c r="G892" s="215"/>
      <c r="H892" s="215"/>
    </row>
    <row r="893" spans="2:8" x14ac:dyDescent="0.2">
      <c r="B893" s="113"/>
      <c r="C893" s="248"/>
      <c r="D893" s="114"/>
      <c r="E893" s="177"/>
      <c r="F893" s="187"/>
      <c r="G893" s="215"/>
      <c r="H893" s="215"/>
    </row>
    <row r="894" spans="2:8" x14ac:dyDescent="0.2">
      <c r="B894" s="113"/>
      <c r="C894" s="248"/>
      <c r="D894" s="114"/>
      <c r="E894" s="177"/>
      <c r="F894" s="187"/>
      <c r="G894" s="215"/>
      <c r="H894" s="215"/>
    </row>
    <row r="895" spans="2:8" x14ac:dyDescent="0.2">
      <c r="B895" s="113"/>
      <c r="C895" s="248"/>
      <c r="D895" s="114"/>
      <c r="E895" s="177"/>
      <c r="F895" s="187"/>
      <c r="G895" s="215"/>
      <c r="H895" s="215"/>
    </row>
    <row r="896" spans="2:8" x14ac:dyDescent="0.2">
      <c r="B896" s="113"/>
      <c r="C896" s="248"/>
      <c r="D896" s="114"/>
      <c r="E896" s="177"/>
      <c r="F896" s="187"/>
      <c r="G896" s="215"/>
      <c r="H896" s="215"/>
    </row>
    <row r="897" spans="2:8" x14ac:dyDescent="0.2">
      <c r="B897" s="113"/>
      <c r="C897" s="248"/>
      <c r="D897" s="114"/>
      <c r="E897" s="177"/>
      <c r="F897" s="187"/>
      <c r="G897" s="215"/>
      <c r="H897" s="215"/>
    </row>
    <row r="898" spans="2:8" x14ac:dyDescent="0.2">
      <c r="B898" s="113"/>
      <c r="C898" s="248"/>
      <c r="D898" s="114"/>
      <c r="E898" s="177"/>
      <c r="F898" s="187"/>
      <c r="G898" s="215"/>
      <c r="H898" s="215"/>
    </row>
    <row r="899" spans="2:8" x14ac:dyDescent="0.2">
      <c r="B899" s="113"/>
      <c r="C899" s="248"/>
      <c r="D899" s="114"/>
      <c r="E899" s="177"/>
      <c r="F899" s="187"/>
      <c r="G899" s="215"/>
      <c r="H899" s="215"/>
    </row>
    <row r="900" spans="2:8" x14ac:dyDescent="0.2">
      <c r="B900" s="113"/>
      <c r="C900" s="248"/>
      <c r="D900" s="114"/>
      <c r="E900" s="177"/>
      <c r="F900" s="187"/>
      <c r="G900" s="215"/>
      <c r="H900" s="215"/>
    </row>
    <row r="901" spans="2:8" x14ac:dyDescent="0.2">
      <c r="B901" s="113"/>
      <c r="C901" s="248"/>
      <c r="D901" s="114"/>
      <c r="E901" s="177"/>
      <c r="F901" s="187"/>
      <c r="G901" s="215"/>
      <c r="H901" s="215"/>
    </row>
    <row r="902" spans="2:8" x14ac:dyDescent="0.2">
      <c r="B902" s="113"/>
      <c r="C902" s="248"/>
      <c r="D902" s="114"/>
      <c r="E902" s="177"/>
      <c r="F902" s="187"/>
      <c r="G902" s="215"/>
      <c r="H902" s="215"/>
    </row>
    <row r="903" spans="2:8" x14ac:dyDescent="0.2">
      <c r="B903" s="113"/>
      <c r="C903" s="248"/>
      <c r="D903" s="114"/>
      <c r="E903" s="177"/>
      <c r="F903" s="187"/>
      <c r="G903" s="215"/>
      <c r="H903" s="215"/>
    </row>
    <row r="904" spans="2:8" x14ac:dyDescent="0.2">
      <c r="B904" s="113"/>
      <c r="C904" s="248"/>
      <c r="D904" s="114"/>
      <c r="E904" s="177"/>
      <c r="F904" s="187"/>
      <c r="G904" s="215"/>
      <c r="H904" s="215"/>
    </row>
    <row r="905" spans="2:8" x14ac:dyDescent="0.2">
      <c r="B905" s="113"/>
      <c r="C905" s="248"/>
      <c r="D905" s="114"/>
      <c r="E905" s="177"/>
      <c r="F905" s="187"/>
      <c r="G905" s="215"/>
      <c r="H905" s="215"/>
    </row>
    <row r="906" spans="2:8" x14ac:dyDescent="0.2">
      <c r="B906" s="113"/>
      <c r="C906" s="248"/>
      <c r="D906" s="114"/>
      <c r="E906" s="177"/>
      <c r="F906" s="187"/>
      <c r="G906" s="215"/>
      <c r="H906" s="215"/>
    </row>
    <row r="907" spans="2:8" x14ac:dyDescent="0.2">
      <c r="B907" s="113"/>
      <c r="C907" s="248"/>
      <c r="D907" s="114"/>
      <c r="E907" s="177"/>
      <c r="F907" s="187"/>
      <c r="G907" s="215"/>
      <c r="H907" s="215"/>
    </row>
    <row r="908" spans="2:8" x14ac:dyDescent="0.2">
      <c r="B908" s="113"/>
      <c r="C908" s="248"/>
      <c r="D908" s="114"/>
      <c r="E908" s="177"/>
      <c r="F908" s="187"/>
      <c r="G908" s="215"/>
      <c r="H908" s="215"/>
    </row>
    <row r="909" spans="2:8" x14ac:dyDescent="0.2">
      <c r="B909" s="113"/>
      <c r="C909" s="248"/>
      <c r="D909" s="114"/>
      <c r="E909" s="177"/>
      <c r="F909" s="187"/>
      <c r="G909" s="215"/>
      <c r="H909" s="215"/>
    </row>
    <row r="910" spans="2:8" x14ac:dyDescent="0.2">
      <c r="B910" s="113"/>
      <c r="C910" s="248"/>
      <c r="D910" s="114"/>
      <c r="E910" s="177"/>
      <c r="F910" s="187"/>
      <c r="G910" s="215"/>
      <c r="H910" s="215"/>
    </row>
    <row r="911" spans="2:8" x14ac:dyDescent="0.2">
      <c r="B911" s="113"/>
      <c r="C911" s="248"/>
      <c r="D911" s="114"/>
      <c r="E911" s="177"/>
      <c r="F911" s="187"/>
      <c r="G911" s="215"/>
      <c r="H911" s="215"/>
    </row>
    <row r="912" spans="2:8" x14ac:dyDescent="0.2">
      <c r="B912" s="113"/>
      <c r="C912" s="248"/>
      <c r="D912" s="114"/>
      <c r="E912" s="177"/>
      <c r="F912" s="187"/>
      <c r="G912" s="215"/>
      <c r="H912" s="215"/>
    </row>
    <row r="913" spans="2:8" x14ac:dyDescent="0.2">
      <c r="B913" s="113"/>
      <c r="C913" s="248"/>
      <c r="D913" s="114"/>
      <c r="E913" s="177"/>
      <c r="F913" s="187"/>
      <c r="G913" s="215"/>
      <c r="H913" s="215"/>
    </row>
    <row r="914" spans="2:8" x14ac:dyDescent="0.2">
      <c r="B914" s="113"/>
      <c r="C914" s="248"/>
      <c r="D914" s="114"/>
      <c r="E914" s="177"/>
      <c r="F914" s="187"/>
      <c r="G914" s="215"/>
      <c r="H914" s="215"/>
    </row>
    <row r="915" spans="2:8" x14ac:dyDescent="0.2">
      <c r="B915" s="113"/>
      <c r="C915" s="248"/>
      <c r="D915" s="114"/>
      <c r="E915" s="177"/>
      <c r="F915" s="187"/>
      <c r="G915" s="215"/>
      <c r="H915" s="215"/>
    </row>
    <row r="916" spans="2:8" x14ac:dyDescent="0.2">
      <c r="B916" s="113"/>
      <c r="C916" s="248"/>
      <c r="D916" s="114"/>
      <c r="E916" s="177"/>
      <c r="F916" s="187"/>
      <c r="G916" s="215"/>
      <c r="H916" s="215"/>
    </row>
    <row r="917" spans="2:8" x14ac:dyDescent="0.2">
      <c r="B917" s="113"/>
      <c r="C917" s="248"/>
      <c r="D917" s="114"/>
      <c r="E917" s="177"/>
      <c r="F917" s="187"/>
      <c r="G917" s="215"/>
      <c r="H917" s="215"/>
    </row>
    <row r="918" spans="2:8" x14ac:dyDescent="0.2">
      <c r="B918" s="113"/>
      <c r="C918" s="248"/>
      <c r="D918" s="114"/>
      <c r="E918" s="177"/>
      <c r="F918" s="187"/>
      <c r="G918" s="215"/>
      <c r="H918" s="215"/>
    </row>
    <row r="919" spans="2:8" x14ac:dyDescent="0.2">
      <c r="B919" s="113"/>
      <c r="C919" s="248"/>
      <c r="D919" s="114"/>
      <c r="E919" s="177"/>
      <c r="F919" s="187"/>
      <c r="G919" s="215"/>
      <c r="H919" s="215"/>
    </row>
    <row r="920" spans="2:8" x14ac:dyDescent="0.2">
      <c r="B920" s="113"/>
      <c r="C920" s="248"/>
      <c r="D920" s="114"/>
      <c r="E920" s="177"/>
      <c r="F920" s="187"/>
      <c r="G920" s="215"/>
      <c r="H920" s="215"/>
    </row>
    <row r="921" spans="2:8" x14ac:dyDescent="0.2">
      <c r="B921" s="113"/>
      <c r="C921" s="248"/>
      <c r="D921" s="114"/>
      <c r="E921" s="177"/>
      <c r="F921" s="187"/>
      <c r="G921" s="215"/>
      <c r="H921" s="215"/>
    </row>
    <row r="922" spans="2:8" x14ac:dyDescent="0.2">
      <c r="B922" s="113"/>
      <c r="C922" s="248"/>
      <c r="D922" s="114"/>
      <c r="E922" s="177"/>
      <c r="F922" s="187"/>
      <c r="G922" s="215"/>
      <c r="H922" s="215"/>
    </row>
    <row r="923" spans="2:8" x14ac:dyDescent="0.2">
      <c r="B923" s="113"/>
      <c r="C923" s="248"/>
      <c r="D923" s="114"/>
      <c r="E923" s="177"/>
      <c r="F923" s="187"/>
      <c r="G923" s="215"/>
      <c r="H923" s="215"/>
    </row>
    <row r="924" spans="2:8" x14ac:dyDescent="0.2">
      <c r="B924" s="113"/>
      <c r="C924" s="248"/>
      <c r="D924" s="114"/>
      <c r="E924" s="177"/>
      <c r="F924" s="187"/>
      <c r="G924" s="215"/>
      <c r="H924" s="215"/>
    </row>
    <row r="925" spans="2:8" x14ac:dyDescent="0.2">
      <c r="B925" s="113"/>
      <c r="C925" s="248"/>
      <c r="D925" s="114"/>
      <c r="E925" s="177"/>
      <c r="F925" s="187"/>
      <c r="G925" s="215"/>
      <c r="H925" s="215"/>
    </row>
    <row r="926" spans="2:8" x14ac:dyDescent="0.2">
      <c r="B926" s="113"/>
      <c r="C926" s="248"/>
      <c r="D926" s="114"/>
      <c r="E926" s="177"/>
      <c r="F926" s="187"/>
      <c r="G926" s="215"/>
      <c r="H926" s="215"/>
    </row>
    <row r="927" spans="2:8" x14ac:dyDescent="0.2">
      <c r="B927" s="113"/>
      <c r="C927" s="248"/>
      <c r="D927" s="114"/>
      <c r="E927" s="177"/>
      <c r="F927" s="187"/>
      <c r="G927" s="215"/>
      <c r="H927" s="215"/>
    </row>
    <row r="928" spans="2:8" x14ac:dyDescent="0.2">
      <c r="B928" s="113"/>
      <c r="C928" s="248"/>
      <c r="D928" s="114"/>
      <c r="E928" s="177"/>
      <c r="F928" s="187"/>
      <c r="G928" s="215"/>
      <c r="H928" s="215"/>
    </row>
    <row r="929" spans="2:8" x14ac:dyDescent="0.2">
      <c r="B929" s="113"/>
      <c r="C929" s="248"/>
      <c r="D929" s="114"/>
      <c r="E929" s="177"/>
      <c r="F929" s="187"/>
      <c r="G929" s="215"/>
      <c r="H929" s="215"/>
    </row>
    <row r="930" spans="2:8" x14ac:dyDescent="0.2">
      <c r="B930" s="113"/>
      <c r="C930" s="248"/>
      <c r="D930" s="114"/>
      <c r="E930" s="177"/>
      <c r="F930" s="187"/>
      <c r="G930" s="215"/>
      <c r="H930" s="215"/>
    </row>
    <row r="931" spans="2:8" x14ac:dyDescent="0.2">
      <c r="B931" s="113"/>
      <c r="C931" s="248"/>
      <c r="D931" s="114"/>
      <c r="E931" s="177"/>
      <c r="F931" s="187"/>
      <c r="G931" s="215"/>
      <c r="H931" s="215"/>
    </row>
    <row r="932" spans="2:8" x14ac:dyDescent="0.2">
      <c r="B932" s="113"/>
      <c r="C932" s="248"/>
      <c r="D932" s="114"/>
      <c r="E932" s="177"/>
      <c r="F932" s="187"/>
      <c r="G932" s="215"/>
      <c r="H932" s="215"/>
    </row>
    <row r="933" spans="2:8" x14ac:dyDescent="0.2">
      <c r="B933" s="113"/>
      <c r="C933" s="248"/>
      <c r="D933" s="114"/>
      <c r="E933" s="177"/>
      <c r="F933" s="187"/>
      <c r="G933" s="215"/>
      <c r="H933" s="215"/>
    </row>
    <row r="934" spans="2:8" x14ac:dyDescent="0.2">
      <c r="B934" s="113"/>
      <c r="C934" s="248"/>
      <c r="D934" s="114"/>
      <c r="E934" s="177"/>
      <c r="F934" s="187"/>
      <c r="G934" s="215"/>
      <c r="H934" s="215"/>
    </row>
    <row r="935" spans="2:8" x14ac:dyDescent="0.2">
      <c r="B935" s="113"/>
      <c r="C935" s="248"/>
      <c r="D935" s="114"/>
      <c r="E935" s="177"/>
      <c r="F935" s="187"/>
      <c r="G935" s="215"/>
      <c r="H935" s="215"/>
    </row>
    <row r="936" spans="2:8" x14ac:dyDescent="0.2">
      <c r="B936" s="113"/>
      <c r="C936" s="248"/>
      <c r="D936" s="114"/>
      <c r="E936" s="177"/>
      <c r="F936" s="187"/>
      <c r="G936" s="215"/>
      <c r="H936" s="215"/>
    </row>
    <row r="937" spans="2:8" x14ac:dyDescent="0.2">
      <c r="B937" s="113"/>
      <c r="C937" s="248"/>
      <c r="D937" s="114"/>
      <c r="E937" s="177"/>
      <c r="F937" s="187"/>
      <c r="G937" s="215"/>
      <c r="H937" s="215"/>
    </row>
    <row r="938" spans="2:8" x14ac:dyDescent="0.2">
      <c r="B938" s="113"/>
      <c r="C938" s="248"/>
      <c r="D938" s="114"/>
      <c r="E938" s="177"/>
      <c r="F938" s="187"/>
      <c r="G938" s="215"/>
      <c r="H938" s="215"/>
    </row>
    <row r="939" spans="2:8" x14ac:dyDescent="0.2">
      <c r="B939" s="113"/>
      <c r="C939" s="248"/>
      <c r="D939" s="114"/>
      <c r="E939" s="177"/>
      <c r="F939" s="187"/>
      <c r="G939" s="215"/>
      <c r="H939" s="215"/>
    </row>
    <row r="940" spans="2:8" x14ac:dyDescent="0.2">
      <c r="B940" s="113"/>
      <c r="C940" s="248"/>
      <c r="D940" s="114"/>
      <c r="E940" s="177"/>
      <c r="F940" s="187"/>
      <c r="G940" s="215"/>
      <c r="H940" s="215"/>
    </row>
    <row r="941" spans="2:8" x14ac:dyDescent="0.2">
      <c r="B941" s="113"/>
      <c r="C941" s="248"/>
      <c r="D941" s="114"/>
      <c r="E941" s="177"/>
      <c r="F941" s="187"/>
      <c r="G941" s="215"/>
      <c r="H941" s="215"/>
    </row>
    <row r="942" spans="2:8" x14ac:dyDescent="0.2">
      <c r="B942" s="113"/>
      <c r="C942" s="248"/>
      <c r="D942" s="114"/>
      <c r="E942" s="177"/>
      <c r="F942" s="187"/>
      <c r="G942" s="215"/>
      <c r="H942" s="215"/>
    </row>
    <row r="943" spans="2:8" x14ac:dyDescent="0.2">
      <c r="B943" s="113"/>
      <c r="C943" s="248"/>
      <c r="D943" s="114"/>
      <c r="E943" s="177"/>
      <c r="F943" s="187"/>
      <c r="G943" s="215"/>
      <c r="H943" s="215"/>
    </row>
    <row r="944" spans="2:8" x14ac:dyDescent="0.2">
      <c r="B944" s="113"/>
      <c r="C944" s="248"/>
      <c r="D944" s="114"/>
      <c r="E944" s="177"/>
      <c r="F944" s="187"/>
      <c r="G944" s="215"/>
      <c r="H944" s="215"/>
    </row>
    <row r="945" spans="2:8" x14ac:dyDescent="0.2">
      <c r="B945" s="113"/>
      <c r="C945" s="248"/>
      <c r="D945" s="114"/>
      <c r="E945" s="177"/>
      <c r="F945" s="187"/>
      <c r="G945" s="215"/>
      <c r="H945" s="215"/>
    </row>
    <row r="946" spans="2:8" x14ac:dyDescent="0.2">
      <c r="B946" s="113"/>
      <c r="C946" s="248"/>
      <c r="D946" s="114"/>
      <c r="E946" s="177"/>
      <c r="F946" s="187"/>
      <c r="G946" s="215"/>
      <c r="H946" s="215"/>
    </row>
    <row r="947" spans="2:8" x14ac:dyDescent="0.2">
      <c r="B947" s="113"/>
      <c r="C947" s="248"/>
      <c r="D947" s="114"/>
      <c r="E947" s="177"/>
      <c r="F947" s="187"/>
      <c r="G947" s="215"/>
      <c r="H947" s="215"/>
    </row>
    <row r="948" spans="2:8" x14ac:dyDescent="0.2">
      <c r="B948" s="113"/>
      <c r="C948" s="248"/>
      <c r="D948" s="114"/>
      <c r="E948" s="177"/>
      <c r="F948" s="187"/>
      <c r="G948" s="215"/>
      <c r="H948" s="215"/>
    </row>
    <row r="949" spans="2:8" x14ac:dyDescent="0.2">
      <c r="B949" s="113"/>
      <c r="C949" s="248"/>
      <c r="D949" s="114"/>
      <c r="E949" s="177"/>
      <c r="F949" s="187"/>
      <c r="G949" s="215"/>
      <c r="H949" s="215"/>
    </row>
    <row r="950" spans="2:8" x14ac:dyDescent="0.2">
      <c r="B950" s="113"/>
      <c r="C950" s="248"/>
      <c r="D950" s="114"/>
      <c r="E950" s="177"/>
      <c r="F950" s="187"/>
      <c r="G950" s="215"/>
      <c r="H950" s="215"/>
    </row>
    <row r="951" spans="2:8" x14ac:dyDescent="0.2">
      <c r="B951" s="113"/>
      <c r="C951" s="248"/>
      <c r="D951" s="114"/>
      <c r="E951" s="177"/>
      <c r="F951" s="187"/>
      <c r="G951" s="215"/>
      <c r="H951" s="215"/>
    </row>
    <row r="952" spans="2:8" x14ac:dyDescent="0.2">
      <c r="B952" s="113"/>
      <c r="C952" s="248"/>
      <c r="D952" s="114"/>
      <c r="E952" s="177"/>
      <c r="F952" s="187"/>
      <c r="G952" s="215"/>
      <c r="H952" s="215"/>
    </row>
    <row r="953" spans="2:8" x14ac:dyDescent="0.2">
      <c r="B953" s="113"/>
      <c r="C953" s="248"/>
      <c r="D953" s="114"/>
      <c r="E953" s="177"/>
      <c r="F953" s="187"/>
      <c r="G953" s="215"/>
      <c r="H953" s="215"/>
    </row>
    <row r="954" spans="2:8" x14ac:dyDescent="0.2">
      <c r="B954" s="113"/>
      <c r="C954" s="248"/>
      <c r="D954" s="114"/>
      <c r="E954" s="177"/>
      <c r="F954" s="187"/>
      <c r="G954" s="215"/>
      <c r="H954" s="215"/>
    </row>
    <row r="955" spans="2:8" x14ac:dyDescent="0.2">
      <c r="B955" s="113"/>
      <c r="C955" s="248"/>
      <c r="D955" s="114"/>
      <c r="E955" s="177"/>
      <c r="F955" s="187"/>
      <c r="G955" s="215"/>
      <c r="H955" s="215"/>
    </row>
    <row r="956" spans="2:8" x14ac:dyDescent="0.2">
      <c r="B956" s="113"/>
      <c r="C956" s="248"/>
      <c r="D956" s="114"/>
      <c r="E956" s="177"/>
      <c r="F956" s="187"/>
      <c r="G956" s="215"/>
      <c r="H956" s="215"/>
    </row>
    <row r="957" spans="2:8" x14ac:dyDescent="0.2">
      <c r="B957" s="113"/>
      <c r="C957" s="248"/>
      <c r="D957" s="114"/>
      <c r="E957" s="177"/>
      <c r="F957" s="187"/>
      <c r="G957" s="215"/>
      <c r="H957" s="215"/>
    </row>
    <row r="958" spans="2:8" x14ac:dyDescent="0.2">
      <c r="B958" s="113"/>
      <c r="C958" s="248"/>
      <c r="D958" s="114"/>
      <c r="E958" s="177"/>
      <c r="F958" s="187"/>
      <c r="G958" s="215"/>
      <c r="H958" s="215"/>
    </row>
    <row r="959" spans="2:8" x14ac:dyDescent="0.2">
      <c r="B959" s="113"/>
      <c r="C959" s="248"/>
      <c r="D959" s="114"/>
      <c r="E959" s="177"/>
      <c r="F959" s="187"/>
      <c r="G959" s="215"/>
      <c r="H959" s="215"/>
    </row>
    <row r="960" spans="2:8" x14ac:dyDescent="0.2">
      <c r="B960" s="113"/>
      <c r="C960" s="248"/>
      <c r="D960" s="114"/>
      <c r="E960" s="177"/>
      <c r="F960" s="187"/>
      <c r="G960" s="215"/>
      <c r="H960" s="215"/>
    </row>
    <row r="961" spans="2:8" x14ac:dyDescent="0.2">
      <c r="B961" s="113"/>
      <c r="C961" s="248"/>
      <c r="D961" s="114"/>
      <c r="E961" s="177"/>
      <c r="F961" s="187"/>
      <c r="G961" s="215"/>
      <c r="H961" s="215"/>
    </row>
    <row r="962" spans="2:8" x14ac:dyDescent="0.2">
      <c r="B962" s="113"/>
      <c r="C962" s="248"/>
      <c r="D962" s="114"/>
      <c r="E962" s="177"/>
      <c r="F962" s="187"/>
      <c r="G962" s="215"/>
      <c r="H962" s="215"/>
    </row>
    <row r="963" spans="2:8" x14ac:dyDescent="0.2">
      <c r="B963" s="113"/>
      <c r="C963" s="248"/>
      <c r="D963" s="114"/>
      <c r="E963" s="177"/>
      <c r="F963" s="187"/>
      <c r="G963" s="215"/>
      <c r="H963" s="215"/>
    </row>
    <row r="964" spans="2:8" x14ac:dyDescent="0.2">
      <c r="B964" s="113"/>
      <c r="C964" s="248"/>
      <c r="D964" s="114"/>
      <c r="E964" s="177"/>
      <c r="F964" s="187"/>
      <c r="G964" s="215"/>
      <c r="H964" s="215"/>
    </row>
    <row r="965" spans="2:8" x14ac:dyDescent="0.2">
      <c r="B965" s="113"/>
      <c r="C965" s="248"/>
      <c r="D965" s="114"/>
      <c r="E965" s="177"/>
      <c r="F965" s="187"/>
      <c r="G965" s="215"/>
      <c r="H965" s="215"/>
    </row>
    <row r="966" spans="2:8" x14ac:dyDescent="0.2">
      <c r="B966" s="113"/>
      <c r="C966" s="248"/>
      <c r="D966" s="114"/>
      <c r="E966" s="177"/>
      <c r="F966" s="187"/>
      <c r="G966" s="215"/>
      <c r="H966" s="215"/>
    </row>
    <row r="967" spans="2:8" x14ac:dyDescent="0.2">
      <c r="B967" s="113"/>
      <c r="C967" s="248"/>
      <c r="D967" s="114"/>
      <c r="E967" s="177"/>
      <c r="F967" s="187"/>
      <c r="G967" s="215"/>
      <c r="H967" s="215"/>
    </row>
    <row r="968" spans="2:8" x14ac:dyDescent="0.2">
      <c r="B968" s="113"/>
      <c r="C968" s="248"/>
      <c r="D968" s="114"/>
      <c r="E968" s="177"/>
      <c r="F968" s="187"/>
      <c r="G968" s="215"/>
      <c r="H968" s="215"/>
    </row>
    <row r="969" spans="2:8" x14ac:dyDescent="0.2">
      <c r="B969" s="113"/>
      <c r="C969" s="248"/>
      <c r="D969" s="114"/>
      <c r="E969" s="177"/>
      <c r="F969" s="187"/>
      <c r="G969" s="215"/>
      <c r="H969" s="215"/>
    </row>
    <row r="970" spans="2:8" x14ac:dyDescent="0.2">
      <c r="B970" s="113"/>
      <c r="C970" s="248"/>
      <c r="D970" s="114"/>
      <c r="E970" s="177"/>
      <c r="F970" s="187"/>
      <c r="G970" s="215"/>
      <c r="H970" s="215"/>
    </row>
    <row r="971" spans="2:8" x14ac:dyDescent="0.2">
      <c r="B971" s="113"/>
      <c r="C971" s="248"/>
      <c r="D971" s="114"/>
      <c r="E971" s="177"/>
      <c r="F971" s="187"/>
      <c r="G971" s="215"/>
      <c r="H971" s="215"/>
    </row>
    <row r="972" spans="2:8" x14ac:dyDescent="0.2">
      <c r="B972" s="113"/>
      <c r="C972" s="248"/>
      <c r="D972" s="114"/>
      <c r="E972" s="177"/>
      <c r="F972" s="187"/>
      <c r="G972" s="215"/>
      <c r="H972" s="215"/>
    </row>
    <row r="973" spans="2:8" x14ac:dyDescent="0.2">
      <c r="B973" s="113"/>
      <c r="C973" s="248"/>
      <c r="D973" s="114"/>
      <c r="E973" s="177"/>
      <c r="F973" s="187"/>
      <c r="G973" s="215"/>
      <c r="H973" s="215"/>
    </row>
    <row r="974" spans="2:8" x14ac:dyDescent="0.2">
      <c r="B974" s="113"/>
      <c r="C974" s="248"/>
      <c r="D974" s="114"/>
      <c r="E974" s="177"/>
      <c r="F974" s="187"/>
      <c r="G974" s="215"/>
      <c r="H974" s="215"/>
    </row>
    <row r="975" spans="2:8" x14ac:dyDescent="0.2">
      <c r="B975" s="113"/>
      <c r="C975" s="248"/>
      <c r="D975" s="114"/>
      <c r="E975" s="177"/>
      <c r="F975" s="187"/>
      <c r="G975" s="215"/>
      <c r="H975" s="215"/>
    </row>
    <row r="976" spans="2:8" x14ac:dyDescent="0.2">
      <c r="B976" s="113"/>
      <c r="C976" s="248"/>
      <c r="D976" s="114"/>
      <c r="E976" s="177"/>
      <c r="F976" s="187"/>
      <c r="G976" s="215"/>
      <c r="H976" s="215"/>
    </row>
    <row r="977" spans="2:8" x14ac:dyDescent="0.2">
      <c r="B977" s="113"/>
      <c r="C977" s="248"/>
      <c r="D977" s="114"/>
      <c r="E977" s="177"/>
      <c r="F977" s="187"/>
      <c r="G977" s="215"/>
      <c r="H977" s="215"/>
    </row>
    <row r="978" spans="2:8" x14ac:dyDescent="0.2">
      <c r="B978" s="113"/>
      <c r="C978" s="248"/>
      <c r="D978" s="114"/>
      <c r="E978" s="177"/>
      <c r="F978" s="187"/>
      <c r="G978" s="215"/>
      <c r="H978" s="215"/>
    </row>
    <row r="979" spans="2:8" x14ac:dyDescent="0.2">
      <c r="B979" s="113"/>
      <c r="C979" s="248"/>
      <c r="D979" s="114"/>
      <c r="E979" s="177"/>
      <c r="F979" s="187"/>
      <c r="G979" s="215"/>
      <c r="H979" s="215"/>
    </row>
    <row r="980" spans="2:8" x14ac:dyDescent="0.2">
      <c r="B980" s="113"/>
      <c r="C980" s="248"/>
      <c r="D980" s="114"/>
      <c r="E980" s="177"/>
      <c r="F980" s="187"/>
      <c r="G980" s="215"/>
      <c r="H980" s="215"/>
    </row>
    <row r="981" spans="2:8" x14ac:dyDescent="0.2">
      <c r="B981" s="113"/>
      <c r="C981" s="248"/>
      <c r="D981" s="114"/>
      <c r="E981" s="177"/>
      <c r="F981" s="187"/>
      <c r="G981" s="215"/>
      <c r="H981" s="215"/>
    </row>
    <row r="982" spans="2:8" x14ac:dyDescent="0.2">
      <c r="B982" s="113"/>
      <c r="C982" s="248"/>
      <c r="D982" s="114"/>
      <c r="E982" s="177"/>
      <c r="F982" s="187"/>
      <c r="G982" s="215"/>
      <c r="H982" s="215"/>
    </row>
    <row r="983" spans="2:8" x14ac:dyDescent="0.2">
      <c r="B983" s="113"/>
      <c r="C983" s="248"/>
      <c r="D983" s="114"/>
      <c r="E983" s="177"/>
      <c r="F983" s="187"/>
      <c r="G983" s="215"/>
      <c r="H983" s="215"/>
    </row>
    <row r="984" spans="2:8" x14ac:dyDescent="0.2">
      <c r="B984" s="113"/>
      <c r="C984" s="248"/>
      <c r="D984" s="114"/>
      <c r="E984" s="177"/>
      <c r="F984" s="187"/>
      <c r="G984" s="215"/>
      <c r="H984" s="215"/>
    </row>
    <row r="985" spans="2:8" x14ac:dyDescent="0.2">
      <c r="B985" s="113"/>
      <c r="C985" s="248"/>
      <c r="D985" s="114"/>
      <c r="E985" s="177"/>
      <c r="F985" s="187"/>
      <c r="G985" s="215"/>
      <c r="H985" s="215"/>
    </row>
    <row r="986" spans="2:8" x14ac:dyDescent="0.2">
      <c r="B986" s="113"/>
      <c r="C986" s="248"/>
      <c r="D986" s="114"/>
      <c r="E986" s="177"/>
      <c r="F986" s="187"/>
      <c r="G986" s="215"/>
      <c r="H986" s="215"/>
    </row>
    <row r="987" spans="2:8" x14ac:dyDescent="0.2">
      <c r="B987" s="113"/>
      <c r="C987" s="248"/>
      <c r="D987" s="114"/>
      <c r="E987" s="177"/>
      <c r="F987" s="187"/>
      <c r="G987" s="215"/>
      <c r="H987" s="215"/>
    </row>
    <row r="988" spans="2:8" x14ac:dyDescent="0.2">
      <c r="B988" s="113"/>
      <c r="C988" s="248"/>
      <c r="D988" s="114"/>
      <c r="E988" s="177"/>
      <c r="F988" s="187"/>
      <c r="G988" s="215"/>
      <c r="H988" s="215"/>
    </row>
    <row r="989" spans="2:8" x14ac:dyDescent="0.2">
      <c r="B989" s="113"/>
      <c r="C989" s="248"/>
      <c r="D989" s="114"/>
      <c r="E989" s="177"/>
      <c r="F989" s="187"/>
      <c r="G989" s="215"/>
      <c r="H989" s="215"/>
    </row>
    <row r="990" spans="2:8" x14ac:dyDescent="0.2">
      <c r="B990" s="113"/>
      <c r="C990" s="248"/>
      <c r="D990" s="114"/>
      <c r="E990" s="177"/>
      <c r="F990" s="187"/>
      <c r="G990" s="215"/>
      <c r="H990" s="215"/>
    </row>
    <row r="991" spans="2:8" x14ac:dyDescent="0.2">
      <c r="B991" s="113"/>
      <c r="C991" s="248"/>
      <c r="D991" s="114"/>
      <c r="E991" s="177"/>
      <c r="F991" s="187"/>
      <c r="G991" s="215"/>
      <c r="H991" s="215"/>
    </row>
    <row r="992" spans="2:8" x14ac:dyDescent="0.2">
      <c r="B992" s="113"/>
      <c r="C992" s="248"/>
      <c r="D992" s="114"/>
      <c r="E992" s="177"/>
      <c r="F992" s="187"/>
      <c r="G992" s="215"/>
      <c r="H992" s="215"/>
    </row>
    <row r="993" spans="2:8" x14ac:dyDescent="0.2">
      <c r="B993" s="113"/>
      <c r="C993" s="248"/>
      <c r="D993" s="114"/>
      <c r="E993" s="177"/>
      <c r="F993" s="187"/>
      <c r="G993" s="215"/>
      <c r="H993" s="215"/>
    </row>
    <row r="994" spans="2:8" x14ac:dyDescent="0.2">
      <c r="B994" s="113"/>
      <c r="C994" s="248"/>
      <c r="D994" s="114"/>
      <c r="E994" s="177"/>
      <c r="F994" s="187"/>
      <c r="G994" s="215"/>
      <c r="H994" s="215"/>
    </row>
    <row r="995" spans="2:8" x14ac:dyDescent="0.2">
      <c r="B995" s="113"/>
      <c r="C995" s="248"/>
      <c r="D995" s="114"/>
      <c r="E995" s="177"/>
      <c r="F995" s="187"/>
      <c r="G995" s="215"/>
      <c r="H995" s="215"/>
    </row>
    <row r="996" spans="2:8" x14ac:dyDescent="0.2">
      <c r="B996" s="113"/>
      <c r="C996" s="248"/>
      <c r="D996" s="114"/>
      <c r="E996" s="177"/>
      <c r="F996" s="187"/>
      <c r="G996" s="215"/>
      <c r="H996" s="215"/>
    </row>
    <row r="997" spans="2:8" x14ac:dyDescent="0.2">
      <c r="B997" s="113"/>
      <c r="C997" s="248"/>
      <c r="D997" s="114"/>
      <c r="E997" s="177"/>
      <c r="F997" s="187"/>
      <c r="G997" s="215"/>
      <c r="H997" s="215"/>
    </row>
    <row r="998" spans="2:8" x14ac:dyDescent="0.2">
      <c r="B998" s="113"/>
      <c r="C998" s="248"/>
      <c r="D998" s="114"/>
      <c r="E998" s="177"/>
      <c r="F998" s="187"/>
      <c r="G998" s="215"/>
      <c r="H998" s="215"/>
    </row>
    <row r="999" spans="2:8" x14ac:dyDescent="0.2">
      <c r="B999" s="113"/>
      <c r="C999" s="248"/>
      <c r="D999" s="114"/>
      <c r="E999" s="177"/>
      <c r="F999" s="187"/>
      <c r="G999" s="215"/>
      <c r="H999" s="215"/>
    </row>
    <row r="1000" spans="2:8" x14ac:dyDescent="0.2">
      <c r="B1000" s="113"/>
      <c r="C1000" s="248"/>
      <c r="D1000" s="114"/>
      <c r="E1000" s="177"/>
      <c r="F1000" s="187"/>
      <c r="G1000" s="215"/>
      <c r="H1000" s="215"/>
    </row>
    <row r="1001" spans="2:8" x14ac:dyDescent="0.2">
      <c r="B1001" s="113"/>
      <c r="C1001" s="248"/>
      <c r="D1001" s="114"/>
      <c r="E1001" s="177"/>
      <c r="F1001" s="187"/>
      <c r="G1001" s="215"/>
      <c r="H1001" s="215"/>
    </row>
    <row r="1002" spans="2:8" x14ac:dyDescent="0.2">
      <c r="B1002" s="113"/>
      <c r="C1002" s="248"/>
      <c r="D1002" s="114"/>
      <c r="E1002" s="177"/>
      <c r="F1002" s="187"/>
      <c r="G1002" s="215"/>
      <c r="H1002" s="215"/>
    </row>
    <row r="1003" spans="2:8" x14ac:dyDescent="0.2">
      <c r="B1003" s="113"/>
      <c r="C1003" s="248"/>
      <c r="D1003" s="114"/>
      <c r="E1003" s="177"/>
      <c r="F1003" s="187"/>
      <c r="G1003" s="215"/>
      <c r="H1003" s="215"/>
    </row>
    <row r="1004" spans="2:8" x14ac:dyDescent="0.2">
      <c r="B1004" s="113"/>
      <c r="C1004" s="248"/>
      <c r="D1004" s="114"/>
      <c r="E1004" s="177"/>
      <c r="F1004" s="187"/>
      <c r="G1004" s="215"/>
      <c r="H1004" s="215"/>
    </row>
    <row r="1005" spans="2:8" x14ac:dyDescent="0.2">
      <c r="B1005" s="113"/>
      <c r="C1005" s="248"/>
      <c r="D1005" s="114"/>
      <c r="E1005" s="177"/>
      <c r="F1005" s="187"/>
      <c r="G1005" s="215"/>
      <c r="H1005" s="215"/>
    </row>
    <row r="1006" spans="2:8" x14ac:dyDescent="0.2">
      <c r="B1006" s="113"/>
      <c r="C1006" s="248"/>
      <c r="D1006" s="114"/>
      <c r="E1006" s="177"/>
      <c r="F1006" s="187"/>
      <c r="G1006" s="215"/>
      <c r="H1006" s="215"/>
    </row>
    <row r="1007" spans="2:8" x14ac:dyDescent="0.2">
      <c r="B1007" s="113"/>
      <c r="C1007" s="248"/>
      <c r="D1007" s="114"/>
      <c r="E1007" s="177"/>
      <c r="F1007" s="187"/>
      <c r="G1007" s="215"/>
      <c r="H1007" s="215"/>
    </row>
    <row r="1008" spans="2:8" x14ac:dyDescent="0.2">
      <c r="B1008" s="113"/>
      <c r="C1008" s="248"/>
      <c r="D1008" s="114"/>
      <c r="E1008" s="177"/>
      <c r="F1008" s="187"/>
      <c r="G1008" s="215"/>
      <c r="H1008" s="215"/>
    </row>
    <row r="1009" spans="2:8" x14ac:dyDescent="0.2">
      <c r="B1009" s="113"/>
      <c r="C1009" s="248"/>
      <c r="D1009" s="114"/>
      <c r="E1009" s="177"/>
      <c r="F1009" s="187"/>
      <c r="G1009" s="215"/>
      <c r="H1009" s="215"/>
    </row>
    <row r="1010" spans="2:8" x14ac:dyDescent="0.2">
      <c r="B1010" s="113"/>
      <c r="C1010" s="248"/>
      <c r="D1010" s="114"/>
      <c r="E1010" s="177"/>
      <c r="F1010" s="187"/>
      <c r="G1010" s="215"/>
      <c r="H1010" s="215"/>
    </row>
    <row r="1011" spans="2:8" x14ac:dyDescent="0.2">
      <c r="B1011" s="113"/>
      <c r="C1011" s="248"/>
      <c r="D1011" s="114"/>
      <c r="E1011" s="177"/>
      <c r="F1011" s="187"/>
      <c r="G1011" s="215"/>
      <c r="H1011" s="215"/>
    </row>
    <row r="1012" spans="2:8" x14ac:dyDescent="0.2">
      <c r="B1012" s="113"/>
      <c r="C1012" s="248"/>
      <c r="D1012" s="114"/>
      <c r="E1012" s="177"/>
      <c r="F1012" s="187"/>
      <c r="G1012" s="215"/>
      <c r="H1012" s="215"/>
    </row>
    <row r="1013" spans="2:8" x14ac:dyDescent="0.2">
      <c r="B1013" s="113"/>
      <c r="C1013" s="248"/>
      <c r="D1013" s="114"/>
      <c r="E1013" s="177"/>
      <c r="F1013" s="187"/>
      <c r="G1013" s="215"/>
      <c r="H1013" s="215"/>
    </row>
    <row r="1014" spans="2:8" x14ac:dyDescent="0.2">
      <c r="B1014" s="113"/>
      <c r="C1014" s="248"/>
      <c r="D1014" s="114"/>
      <c r="E1014" s="177"/>
      <c r="F1014" s="187"/>
      <c r="G1014" s="215"/>
      <c r="H1014" s="215"/>
    </row>
    <row r="1015" spans="2:8" x14ac:dyDescent="0.2">
      <c r="B1015" s="113"/>
      <c r="C1015" s="248"/>
      <c r="D1015" s="114"/>
      <c r="E1015" s="177"/>
      <c r="F1015" s="187"/>
      <c r="G1015" s="215"/>
      <c r="H1015" s="215"/>
    </row>
    <row r="1016" spans="2:8" x14ac:dyDescent="0.2">
      <c r="B1016" s="113"/>
      <c r="C1016" s="248"/>
      <c r="D1016" s="114"/>
      <c r="E1016" s="177"/>
      <c r="F1016" s="187"/>
      <c r="G1016" s="215"/>
      <c r="H1016" s="215"/>
    </row>
    <row r="1017" spans="2:8" x14ac:dyDescent="0.2">
      <c r="B1017" s="113"/>
      <c r="C1017" s="248"/>
      <c r="D1017" s="114"/>
      <c r="E1017" s="177"/>
      <c r="F1017" s="187"/>
      <c r="G1017" s="215"/>
      <c r="H1017" s="215"/>
    </row>
    <row r="1018" spans="2:8" x14ac:dyDescent="0.2">
      <c r="B1018" s="113"/>
      <c r="C1018" s="248"/>
      <c r="D1018" s="114"/>
      <c r="E1018" s="177"/>
      <c r="F1018" s="187"/>
      <c r="G1018" s="215"/>
      <c r="H1018" s="215"/>
    </row>
    <row r="1019" spans="2:8" x14ac:dyDescent="0.2">
      <c r="B1019" s="113"/>
      <c r="C1019" s="248"/>
      <c r="D1019" s="114"/>
      <c r="E1019" s="177"/>
      <c r="F1019" s="187"/>
      <c r="G1019" s="215"/>
      <c r="H1019" s="215"/>
    </row>
    <row r="1020" spans="2:8" x14ac:dyDescent="0.2">
      <c r="B1020" s="113"/>
      <c r="C1020" s="248"/>
      <c r="D1020" s="114"/>
      <c r="E1020" s="177"/>
      <c r="F1020" s="187"/>
      <c r="G1020" s="215"/>
      <c r="H1020" s="215"/>
    </row>
    <row r="1021" spans="2:8" x14ac:dyDescent="0.2">
      <c r="B1021" s="113"/>
      <c r="C1021" s="248"/>
      <c r="D1021" s="114"/>
      <c r="E1021" s="177"/>
      <c r="F1021" s="187"/>
      <c r="G1021" s="215"/>
      <c r="H1021" s="215"/>
    </row>
    <row r="1022" spans="2:8" x14ac:dyDescent="0.2">
      <c r="B1022" s="113"/>
      <c r="C1022" s="248"/>
      <c r="D1022" s="114"/>
      <c r="E1022" s="177"/>
      <c r="F1022" s="187"/>
      <c r="G1022" s="215"/>
      <c r="H1022" s="215"/>
    </row>
    <row r="1023" spans="2:8" x14ac:dyDescent="0.2">
      <c r="B1023" s="113"/>
      <c r="C1023" s="248"/>
      <c r="D1023" s="114"/>
      <c r="E1023" s="177"/>
      <c r="F1023" s="187"/>
      <c r="G1023" s="215"/>
      <c r="H1023" s="215"/>
    </row>
    <row r="1024" spans="2:8" x14ac:dyDescent="0.2">
      <c r="B1024" s="113"/>
      <c r="C1024" s="248"/>
      <c r="D1024" s="114"/>
      <c r="E1024" s="177"/>
      <c r="F1024" s="187"/>
      <c r="G1024" s="215"/>
      <c r="H1024" s="215"/>
    </row>
    <row r="1025" spans="2:8" x14ac:dyDescent="0.2">
      <c r="B1025" s="113"/>
      <c r="C1025" s="248"/>
      <c r="D1025" s="114"/>
      <c r="E1025" s="177"/>
      <c r="F1025" s="187"/>
      <c r="G1025" s="215"/>
      <c r="H1025" s="215"/>
    </row>
    <row r="1026" spans="2:8" x14ac:dyDescent="0.2">
      <c r="B1026" s="113"/>
      <c r="C1026" s="248"/>
      <c r="D1026" s="114"/>
      <c r="E1026" s="177"/>
      <c r="F1026" s="187"/>
      <c r="G1026" s="215"/>
      <c r="H1026" s="215"/>
    </row>
    <row r="1027" spans="2:8" x14ac:dyDescent="0.2">
      <c r="B1027" s="113"/>
      <c r="C1027" s="248"/>
      <c r="D1027" s="114"/>
      <c r="E1027" s="177"/>
      <c r="F1027" s="187"/>
      <c r="G1027" s="215"/>
      <c r="H1027" s="215"/>
    </row>
    <row r="1028" spans="2:8" x14ac:dyDescent="0.2">
      <c r="B1028" s="113"/>
      <c r="C1028" s="248"/>
      <c r="D1028" s="114"/>
      <c r="E1028" s="177"/>
      <c r="F1028" s="187"/>
      <c r="G1028" s="215"/>
      <c r="H1028" s="215"/>
    </row>
    <row r="1029" spans="2:8" x14ac:dyDescent="0.2">
      <c r="B1029" s="113"/>
      <c r="C1029" s="248"/>
      <c r="D1029" s="114"/>
      <c r="E1029" s="177"/>
      <c r="F1029" s="187"/>
      <c r="G1029" s="215"/>
      <c r="H1029" s="215"/>
    </row>
    <row r="1030" spans="2:8" x14ac:dyDescent="0.2">
      <c r="B1030" s="113"/>
      <c r="C1030" s="248"/>
      <c r="D1030" s="114"/>
      <c r="E1030" s="177"/>
      <c r="F1030" s="187"/>
      <c r="G1030" s="215"/>
      <c r="H1030" s="215"/>
    </row>
    <row r="1031" spans="2:8" x14ac:dyDescent="0.2">
      <c r="B1031" s="113"/>
      <c r="C1031" s="248"/>
      <c r="D1031" s="114"/>
      <c r="E1031" s="177"/>
      <c r="F1031" s="187"/>
      <c r="G1031" s="215"/>
      <c r="H1031" s="215"/>
    </row>
    <row r="1032" spans="2:8" x14ac:dyDescent="0.2">
      <c r="B1032" s="113"/>
      <c r="C1032" s="248"/>
      <c r="D1032" s="114"/>
      <c r="E1032" s="177"/>
      <c r="F1032" s="187"/>
      <c r="G1032" s="215"/>
      <c r="H1032" s="215"/>
    </row>
    <row r="1033" spans="2:8" x14ac:dyDescent="0.2">
      <c r="B1033" s="113"/>
      <c r="C1033" s="248"/>
      <c r="D1033" s="114"/>
      <c r="E1033" s="177"/>
      <c r="F1033" s="187"/>
      <c r="G1033" s="215"/>
      <c r="H1033" s="215"/>
    </row>
    <row r="1034" spans="2:8" x14ac:dyDescent="0.2">
      <c r="B1034" s="113"/>
      <c r="C1034" s="248"/>
      <c r="D1034" s="114"/>
      <c r="E1034" s="177"/>
      <c r="F1034" s="187"/>
      <c r="G1034" s="215"/>
      <c r="H1034" s="215"/>
    </row>
    <row r="1035" spans="2:8" x14ac:dyDescent="0.2">
      <c r="B1035" s="113"/>
      <c r="C1035" s="248"/>
      <c r="D1035" s="114"/>
      <c r="E1035" s="177"/>
      <c r="F1035" s="187"/>
      <c r="G1035" s="215"/>
      <c r="H1035" s="215"/>
    </row>
    <row r="1036" spans="2:8" x14ac:dyDescent="0.2">
      <c r="B1036" s="113"/>
      <c r="C1036" s="248"/>
      <c r="D1036" s="114"/>
      <c r="E1036" s="177"/>
      <c r="F1036" s="187"/>
      <c r="G1036" s="215"/>
      <c r="H1036" s="215"/>
    </row>
    <row r="1037" spans="2:8" x14ac:dyDescent="0.2">
      <c r="B1037" s="113"/>
      <c r="C1037" s="248"/>
      <c r="D1037" s="114"/>
      <c r="E1037" s="177"/>
      <c r="F1037" s="187"/>
      <c r="G1037" s="215"/>
      <c r="H1037" s="215"/>
    </row>
    <row r="1038" spans="2:8" x14ac:dyDescent="0.2">
      <c r="B1038" s="113"/>
      <c r="C1038" s="248"/>
      <c r="D1038" s="114"/>
      <c r="E1038" s="177"/>
      <c r="F1038" s="187"/>
      <c r="G1038" s="215"/>
      <c r="H1038" s="215"/>
    </row>
    <row r="1039" spans="2:8" x14ac:dyDescent="0.2">
      <c r="B1039" s="113"/>
      <c r="C1039" s="248"/>
      <c r="D1039" s="114"/>
      <c r="E1039" s="177"/>
      <c r="F1039" s="187"/>
      <c r="G1039" s="215"/>
      <c r="H1039" s="215"/>
    </row>
    <row r="1040" spans="2:8" x14ac:dyDescent="0.2">
      <c r="B1040" s="113"/>
      <c r="C1040" s="248"/>
      <c r="D1040" s="114"/>
      <c r="E1040" s="177"/>
      <c r="F1040" s="187"/>
      <c r="G1040" s="215"/>
      <c r="H1040" s="215"/>
    </row>
    <row r="1041" spans="2:8" x14ac:dyDescent="0.2">
      <c r="B1041" s="113"/>
      <c r="C1041" s="248"/>
      <c r="D1041" s="114"/>
      <c r="E1041" s="177"/>
      <c r="F1041" s="187"/>
      <c r="G1041" s="215"/>
      <c r="H1041" s="215"/>
    </row>
    <row r="1042" spans="2:8" x14ac:dyDescent="0.2">
      <c r="B1042" s="113"/>
      <c r="C1042" s="248"/>
      <c r="D1042" s="114"/>
      <c r="E1042" s="177"/>
      <c r="F1042" s="187"/>
      <c r="G1042" s="215"/>
      <c r="H1042" s="215"/>
    </row>
    <row r="1043" spans="2:8" x14ac:dyDescent="0.2">
      <c r="B1043" s="113"/>
      <c r="C1043" s="248"/>
      <c r="D1043" s="114"/>
      <c r="E1043" s="177"/>
      <c r="F1043" s="187"/>
      <c r="G1043" s="215"/>
      <c r="H1043" s="215"/>
    </row>
    <row r="1044" spans="2:8" x14ac:dyDescent="0.2">
      <c r="B1044" s="113"/>
      <c r="C1044" s="248"/>
      <c r="D1044" s="114"/>
      <c r="E1044" s="177"/>
      <c r="F1044" s="187"/>
      <c r="G1044" s="215"/>
      <c r="H1044" s="215"/>
    </row>
    <row r="1045" spans="2:8" x14ac:dyDescent="0.2">
      <c r="B1045" s="113"/>
      <c r="C1045" s="248"/>
      <c r="D1045" s="114"/>
      <c r="E1045" s="177"/>
      <c r="F1045" s="187"/>
      <c r="G1045" s="215"/>
      <c r="H1045" s="215"/>
    </row>
    <row r="1046" spans="2:8" x14ac:dyDescent="0.2">
      <c r="B1046" s="113"/>
      <c r="C1046" s="248"/>
      <c r="D1046" s="114"/>
      <c r="E1046" s="177"/>
      <c r="F1046" s="187"/>
      <c r="G1046" s="215"/>
      <c r="H1046" s="215"/>
    </row>
    <row r="1047" spans="2:8" x14ac:dyDescent="0.2">
      <c r="B1047" s="113"/>
      <c r="C1047" s="248"/>
      <c r="D1047" s="114"/>
      <c r="E1047" s="177"/>
      <c r="F1047" s="187"/>
      <c r="G1047" s="215"/>
      <c r="H1047" s="215"/>
    </row>
    <row r="1048" spans="2:8" x14ac:dyDescent="0.2">
      <c r="B1048" s="113"/>
      <c r="C1048" s="248"/>
      <c r="D1048" s="114"/>
      <c r="E1048" s="177"/>
      <c r="F1048" s="187"/>
      <c r="G1048" s="215"/>
      <c r="H1048" s="215"/>
    </row>
    <row r="1049" spans="2:8" x14ac:dyDescent="0.2">
      <c r="B1049" s="113"/>
      <c r="C1049" s="248"/>
      <c r="D1049" s="114"/>
      <c r="E1049" s="177"/>
      <c r="F1049" s="187"/>
      <c r="G1049" s="215"/>
      <c r="H1049" s="215"/>
    </row>
    <row r="1050" spans="2:8" x14ac:dyDescent="0.2">
      <c r="B1050" s="113"/>
      <c r="C1050" s="248"/>
      <c r="D1050" s="114"/>
      <c r="E1050" s="177"/>
      <c r="F1050" s="187"/>
      <c r="G1050" s="215"/>
      <c r="H1050" s="215"/>
    </row>
    <row r="1051" spans="2:8" x14ac:dyDescent="0.2">
      <c r="B1051" s="113"/>
      <c r="C1051" s="248"/>
      <c r="D1051" s="114"/>
      <c r="E1051" s="177"/>
      <c r="F1051" s="187"/>
      <c r="G1051" s="215"/>
      <c r="H1051" s="215"/>
    </row>
    <row r="1052" spans="2:8" x14ac:dyDescent="0.2">
      <c r="B1052" s="113"/>
      <c r="C1052" s="248"/>
      <c r="D1052" s="114"/>
      <c r="E1052" s="177"/>
      <c r="F1052" s="187"/>
      <c r="G1052" s="215"/>
      <c r="H1052" s="215"/>
    </row>
    <row r="1053" spans="2:8" x14ac:dyDescent="0.2">
      <c r="B1053" s="113"/>
      <c r="C1053" s="248"/>
      <c r="D1053" s="114"/>
      <c r="E1053" s="177"/>
      <c r="F1053" s="187"/>
      <c r="G1053" s="215"/>
      <c r="H1053" s="215"/>
    </row>
    <row r="1054" spans="2:8" x14ac:dyDescent="0.2">
      <c r="B1054" s="113"/>
      <c r="C1054" s="248"/>
      <c r="D1054" s="114"/>
      <c r="E1054" s="177"/>
      <c r="F1054" s="187"/>
      <c r="G1054" s="215"/>
      <c r="H1054" s="215"/>
    </row>
    <row r="1055" spans="2:8" x14ac:dyDescent="0.2">
      <c r="B1055" s="113"/>
      <c r="C1055" s="248"/>
      <c r="D1055" s="114"/>
      <c r="E1055" s="177"/>
      <c r="F1055" s="187"/>
      <c r="G1055" s="215"/>
      <c r="H1055" s="215"/>
    </row>
    <row r="1056" spans="2:8" x14ac:dyDescent="0.2">
      <c r="B1056" s="113"/>
      <c r="C1056" s="248"/>
      <c r="D1056" s="114"/>
      <c r="E1056" s="177"/>
      <c r="F1056" s="187"/>
      <c r="G1056" s="215"/>
      <c r="H1056" s="215"/>
    </row>
    <row r="1057" spans="2:8" x14ac:dyDescent="0.2">
      <c r="B1057" s="113"/>
      <c r="C1057" s="248"/>
      <c r="D1057" s="114"/>
      <c r="E1057" s="177"/>
      <c r="F1057" s="187"/>
      <c r="G1057" s="215"/>
      <c r="H1057" s="215"/>
    </row>
    <row r="1058" spans="2:8" x14ac:dyDescent="0.2">
      <c r="B1058" s="113"/>
      <c r="C1058" s="248"/>
      <c r="D1058" s="114"/>
      <c r="E1058" s="177"/>
      <c r="F1058" s="187"/>
      <c r="G1058" s="215"/>
      <c r="H1058" s="215"/>
    </row>
    <row r="1059" spans="2:8" x14ac:dyDescent="0.2">
      <c r="B1059" s="113"/>
      <c r="C1059" s="248"/>
      <c r="D1059" s="114"/>
      <c r="E1059" s="177"/>
      <c r="F1059" s="187"/>
      <c r="G1059" s="215"/>
      <c r="H1059" s="215"/>
    </row>
    <row r="1060" spans="2:8" x14ac:dyDescent="0.2">
      <c r="B1060" s="113"/>
      <c r="C1060" s="248"/>
      <c r="D1060" s="114"/>
      <c r="E1060" s="177"/>
      <c r="F1060" s="187"/>
      <c r="G1060" s="215"/>
      <c r="H1060" s="215"/>
    </row>
    <row r="1061" spans="2:8" x14ac:dyDescent="0.2">
      <c r="B1061" s="113"/>
      <c r="C1061" s="248"/>
      <c r="D1061" s="114"/>
      <c r="E1061" s="177"/>
      <c r="F1061" s="187"/>
      <c r="G1061" s="215"/>
      <c r="H1061" s="215"/>
    </row>
    <row r="1062" spans="2:8" x14ac:dyDescent="0.2">
      <c r="B1062" s="113"/>
      <c r="C1062" s="248"/>
      <c r="D1062" s="114"/>
      <c r="E1062" s="177"/>
      <c r="F1062" s="187"/>
      <c r="G1062" s="215"/>
      <c r="H1062" s="215"/>
    </row>
    <row r="1063" spans="2:8" x14ac:dyDescent="0.2">
      <c r="B1063" s="113"/>
      <c r="C1063" s="248"/>
      <c r="D1063" s="114"/>
      <c r="E1063" s="177"/>
      <c r="F1063" s="187"/>
      <c r="G1063" s="215"/>
      <c r="H1063" s="215"/>
    </row>
    <row r="1064" spans="2:8" x14ac:dyDescent="0.2">
      <c r="B1064" s="113"/>
      <c r="C1064" s="248"/>
      <c r="D1064" s="114"/>
      <c r="E1064" s="177"/>
      <c r="F1064" s="187"/>
      <c r="G1064" s="215"/>
      <c r="H1064" s="215"/>
    </row>
    <row r="1065" spans="2:8" x14ac:dyDescent="0.2">
      <c r="B1065" s="113"/>
      <c r="C1065" s="248"/>
      <c r="D1065" s="114"/>
      <c r="E1065" s="177"/>
      <c r="F1065" s="187"/>
      <c r="G1065" s="215"/>
      <c r="H1065" s="215"/>
    </row>
    <row r="1066" spans="2:8" x14ac:dyDescent="0.2">
      <c r="B1066" s="113"/>
      <c r="C1066" s="248"/>
      <c r="D1066" s="114"/>
      <c r="E1066" s="177"/>
      <c r="F1066" s="187"/>
      <c r="G1066" s="215"/>
      <c r="H1066" s="215"/>
    </row>
    <row r="1067" spans="2:8" x14ac:dyDescent="0.2">
      <c r="B1067" s="113"/>
      <c r="C1067" s="248"/>
      <c r="D1067" s="114"/>
      <c r="E1067" s="177"/>
      <c r="F1067" s="187"/>
      <c r="G1067" s="215"/>
      <c r="H1067" s="215"/>
    </row>
    <row r="1068" spans="2:8" x14ac:dyDescent="0.2">
      <c r="B1068" s="113"/>
      <c r="C1068" s="248"/>
      <c r="D1068" s="114"/>
      <c r="E1068" s="177"/>
      <c r="F1068" s="187"/>
      <c r="G1068" s="215"/>
      <c r="H1068" s="215"/>
    </row>
    <row r="1069" spans="2:8" x14ac:dyDescent="0.2">
      <c r="B1069" s="113"/>
      <c r="C1069" s="248"/>
      <c r="D1069" s="114"/>
      <c r="E1069" s="177"/>
      <c r="F1069" s="187"/>
      <c r="G1069" s="215"/>
      <c r="H1069" s="215"/>
    </row>
    <row r="1070" spans="2:8" x14ac:dyDescent="0.2">
      <c r="B1070" s="113"/>
      <c r="C1070" s="248"/>
      <c r="D1070" s="114"/>
      <c r="E1070" s="177"/>
      <c r="F1070" s="187"/>
      <c r="G1070" s="215"/>
      <c r="H1070" s="215"/>
    </row>
    <row r="1071" spans="2:8" x14ac:dyDescent="0.2">
      <c r="B1071" s="113"/>
      <c r="C1071" s="248"/>
      <c r="D1071" s="114"/>
      <c r="E1071" s="177"/>
      <c r="F1071" s="187"/>
      <c r="G1071" s="215"/>
      <c r="H1071" s="215"/>
    </row>
    <row r="1072" spans="2:8" x14ac:dyDescent="0.2">
      <c r="B1072" s="113"/>
      <c r="C1072" s="248"/>
      <c r="D1072" s="114"/>
      <c r="E1072" s="177"/>
      <c r="F1072" s="187"/>
      <c r="G1072" s="215"/>
      <c r="H1072" s="215"/>
    </row>
    <row r="1073" spans="2:8" x14ac:dyDescent="0.2">
      <c r="B1073" s="113"/>
      <c r="C1073" s="248"/>
      <c r="D1073" s="114"/>
      <c r="E1073" s="177"/>
      <c r="F1073" s="187"/>
      <c r="G1073" s="215"/>
      <c r="H1073" s="215"/>
    </row>
    <row r="1074" spans="2:8" x14ac:dyDescent="0.2">
      <c r="B1074" s="113"/>
      <c r="C1074" s="248"/>
      <c r="D1074" s="114"/>
      <c r="E1074" s="177"/>
      <c r="F1074" s="187"/>
      <c r="G1074" s="215"/>
      <c r="H1074" s="215"/>
    </row>
    <row r="1075" spans="2:8" x14ac:dyDescent="0.2">
      <c r="B1075" s="113"/>
      <c r="C1075" s="248"/>
      <c r="D1075" s="114"/>
      <c r="E1075" s="177"/>
      <c r="F1075" s="187"/>
      <c r="G1075" s="215"/>
      <c r="H1075" s="215"/>
    </row>
    <row r="1076" spans="2:8" x14ac:dyDescent="0.2">
      <c r="B1076" s="113"/>
      <c r="C1076" s="248"/>
      <c r="D1076" s="114"/>
      <c r="E1076" s="177"/>
      <c r="F1076" s="187"/>
      <c r="G1076" s="215"/>
      <c r="H1076" s="215"/>
    </row>
    <row r="1077" spans="2:8" x14ac:dyDescent="0.2">
      <c r="B1077" s="113"/>
      <c r="C1077" s="248"/>
      <c r="D1077" s="114"/>
      <c r="E1077" s="177"/>
      <c r="F1077" s="187"/>
      <c r="G1077" s="215"/>
      <c r="H1077" s="215"/>
    </row>
    <row r="1078" spans="2:8" x14ac:dyDescent="0.2">
      <c r="B1078" s="113"/>
      <c r="C1078" s="248"/>
      <c r="D1078" s="114"/>
      <c r="E1078" s="177"/>
      <c r="F1078" s="187"/>
      <c r="G1078" s="215"/>
      <c r="H1078" s="215"/>
    </row>
    <row r="1079" spans="2:8" x14ac:dyDescent="0.2">
      <c r="B1079" s="113"/>
      <c r="C1079" s="248"/>
      <c r="D1079" s="114"/>
      <c r="E1079" s="177"/>
      <c r="F1079" s="187"/>
      <c r="G1079" s="215"/>
      <c r="H1079" s="215"/>
    </row>
    <row r="1080" spans="2:8" x14ac:dyDescent="0.2">
      <c r="B1080" s="113"/>
      <c r="C1080" s="248"/>
      <c r="D1080" s="114"/>
      <c r="E1080" s="177"/>
      <c r="F1080" s="187"/>
      <c r="G1080" s="215"/>
      <c r="H1080" s="215"/>
    </row>
    <row r="1081" spans="2:8" x14ac:dyDescent="0.2">
      <c r="B1081" s="113"/>
      <c r="C1081" s="248"/>
      <c r="D1081" s="114"/>
      <c r="E1081" s="177"/>
      <c r="F1081" s="187"/>
      <c r="G1081" s="215"/>
      <c r="H1081" s="215"/>
    </row>
    <row r="1082" spans="2:8" x14ac:dyDescent="0.2">
      <c r="B1082" s="113"/>
      <c r="C1082" s="248"/>
      <c r="D1082" s="114"/>
      <c r="E1082" s="177"/>
      <c r="F1082" s="187"/>
      <c r="G1082" s="215"/>
      <c r="H1082" s="215"/>
    </row>
    <row r="1083" spans="2:8" x14ac:dyDescent="0.2">
      <c r="B1083" s="113"/>
      <c r="C1083" s="248"/>
      <c r="D1083" s="114"/>
      <c r="E1083" s="177"/>
      <c r="F1083" s="187"/>
      <c r="G1083" s="215"/>
      <c r="H1083" s="215"/>
    </row>
    <row r="1084" spans="2:8" x14ac:dyDescent="0.2">
      <c r="B1084" s="113"/>
      <c r="C1084" s="248"/>
      <c r="D1084" s="114"/>
      <c r="E1084" s="177"/>
      <c r="F1084" s="187"/>
      <c r="G1084" s="215"/>
      <c r="H1084" s="215"/>
    </row>
    <row r="1085" spans="2:8" x14ac:dyDescent="0.2">
      <c r="B1085" s="113"/>
      <c r="C1085" s="248"/>
      <c r="D1085" s="114"/>
      <c r="E1085" s="177"/>
      <c r="F1085" s="187"/>
      <c r="G1085" s="215"/>
      <c r="H1085" s="215"/>
    </row>
    <row r="1086" spans="2:8" x14ac:dyDescent="0.2">
      <c r="B1086" s="113"/>
      <c r="C1086" s="248"/>
      <c r="D1086" s="114"/>
      <c r="E1086" s="177"/>
      <c r="F1086" s="187"/>
      <c r="G1086" s="215"/>
      <c r="H1086" s="215"/>
    </row>
    <row r="1087" spans="2:8" x14ac:dyDescent="0.2">
      <c r="B1087" s="113"/>
      <c r="C1087" s="248"/>
      <c r="D1087" s="114"/>
      <c r="E1087" s="177"/>
      <c r="F1087" s="187"/>
      <c r="G1087" s="215"/>
      <c r="H1087" s="215"/>
    </row>
    <row r="1088" spans="2:8" x14ac:dyDescent="0.2">
      <c r="B1088" s="113"/>
      <c r="C1088" s="248"/>
      <c r="D1088" s="114"/>
      <c r="E1088" s="177"/>
      <c r="F1088" s="187"/>
      <c r="G1088" s="215"/>
      <c r="H1088" s="215"/>
    </row>
    <row r="1089" spans="2:8" x14ac:dyDescent="0.2">
      <c r="B1089" s="113"/>
      <c r="C1089" s="248"/>
      <c r="D1089" s="114"/>
      <c r="E1089" s="177"/>
      <c r="F1089" s="187"/>
      <c r="G1089" s="215"/>
      <c r="H1089" s="215"/>
    </row>
    <row r="1090" spans="2:8" x14ac:dyDescent="0.2">
      <c r="B1090" s="113"/>
      <c r="C1090" s="248"/>
      <c r="D1090" s="114"/>
      <c r="E1090" s="177"/>
      <c r="F1090" s="187"/>
      <c r="G1090" s="215"/>
      <c r="H1090" s="215"/>
    </row>
    <row r="1091" spans="2:8" x14ac:dyDescent="0.2">
      <c r="B1091" s="113"/>
      <c r="C1091" s="248"/>
      <c r="D1091" s="114"/>
      <c r="E1091" s="177"/>
      <c r="F1091" s="187"/>
      <c r="G1091" s="215"/>
      <c r="H1091" s="215"/>
    </row>
    <row r="1092" spans="2:8" x14ac:dyDescent="0.2">
      <c r="B1092" s="113"/>
      <c r="C1092" s="248"/>
      <c r="D1092" s="114"/>
      <c r="E1092" s="177"/>
      <c r="F1092" s="187"/>
      <c r="G1092" s="215"/>
      <c r="H1092" s="215"/>
    </row>
    <row r="1093" spans="2:8" x14ac:dyDescent="0.2">
      <c r="B1093" s="113"/>
      <c r="C1093" s="248"/>
      <c r="D1093" s="114"/>
      <c r="E1093" s="177"/>
      <c r="F1093" s="187"/>
      <c r="G1093" s="215"/>
      <c r="H1093" s="215"/>
    </row>
    <row r="1094" spans="2:8" x14ac:dyDescent="0.2">
      <c r="B1094" s="113"/>
      <c r="C1094" s="248"/>
      <c r="D1094" s="114"/>
      <c r="E1094" s="177"/>
      <c r="F1094" s="187"/>
      <c r="G1094" s="215"/>
      <c r="H1094" s="215"/>
    </row>
    <row r="1095" spans="2:8" x14ac:dyDescent="0.2">
      <c r="B1095" s="113"/>
      <c r="C1095" s="248"/>
      <c r="D1095" s="114"/>
      <c r="E1095" s="177"/>
      <c r="F1095" s="187"/>
      <c r="G1095" s="215"/>
      <c r="H1095" s="215"/>
    </row>
    <row r="1096" spans="2:8" x14ac:dyDescent="0.2">
      <c r="B1096" s="113"/>
      <c r="C1096" s="248"/>
      <c r="D1096" s="114"/>
      <c r="E1096" s="177"/>
      <c r="F1096" s="187"/>
      <c r="G1096" s="215"/>
      <c r="H1096" s="215"/>
    </row>
    <row r="1097" spans="2:8" x14ac:dyDescent="0.2">
      <c r="B1097" s="113"/>
      <c r="C1097" s="248"/>
      <c r="D1097" s="114"/>
      <c r="E1097" s="177"/>
      <c r="F1097" s="187"/>
      <c r="G1097" s="215"/>
      <c r="H1097" s="215"/>
    </row>
    <row r="1098" spans="2:8" x14ac:dyDescent="0.2">
      <c r="B1098" s="113"/>
      <c r="C1098" s="248"/>
      <c r="D1098" s="114"/>
      <c r="E1098" s="177"/>
      <c r="F1098" s="187"/>
      <c r="G1098" s="215"/>
      <c r="H1098" s="215"/>
    </row>
    <row r="1099" spans="2:8" x14ac:dyDescent="0.2">
      <c r="B1099" s="113"/>
      <c r="C1099" s="248"/>
      <c r="D1099" s="114"/>
      <c r="E1099" s="177"/>
      <c r="F1099" s="187"/>
      <c r="G1099" s="215"/>
      <c r="H1099" s="215"/>
    </row>
    <row r="1100" spans="2:8" x14ac:dyDescent="0.2">
      <c r="B1100" s="113"/>
      <c r="C1100" s="248"/>
      <c r="D1100" s="114"/>
      <c r="E1100" s="177"/>
      <c r="F1100" s="187"/>
      <c r="G1100" s="215"/>
      <c r="H1100" s="215"/>
    </row>
    <row r="1101" spans="2:8" x14ac:dyDescent="0.2">
      <c r="B1101" s="113"/>
      <c r="C1101" s="248"/>
      <c r="D1101" s="114"/>
      <c r="E1101" s="177"/>
      <c r="F1101" s="187"/>
      <c r="G1101" s="215"/>
      <c r="H1101" s="215"/>
    </row>
    <row r="1102" spans="2:8" x14ac:dyDescent="0.2">
      <c r="B1102" s="113"/>
      <c r="C1102" s="248"/>
      <c r="D1102" s="114"/>
      <c r="E1102" s="177"/>
      <c r="F1102" s="187"/>
      <c r="G1102" s="215"/>
      <c r="H1102" s="215"/>
    </row>
    <row r="1103" spans="2:8" x14ac:dyDescent="0.2">
      <c r="B1103" s="113"/>
      <c r="C1103" s="248"/>
      <c r="D1103" s="114"/>
      <c r="E1103" s="177"/>
      <c r="F1103" s="187"/>
      <c r="G1103" s="215"/>
      <c r="H1103" s="215"/>
    </row>
    <row r="1104" spans="2:8" x14ac:dyDescent="0.2">
      <c r="B1104" s="113"/>
      <c r="C1104" s="248"/>
      <c r="D1104" s="114"/>
      <c r="E1104" s="177"/>
      <c r="F1104" s="187"/>
      <c r="G1104" s="215"/>
      <c r="H1104" s="215"/>
    </row>
    <row r="1105" spans="2:8" x14ac:dyDescent="0.2">
      <c r="B1105" s="113"/>
      <c r="C1105" s="248"/>
      <c r="D1105" s="114"/>
      <c r="E1105" s="177"/>
      <c r="F1105" s="187"/>
      <c r="G1105" s="215"/>
      <c r="H1105" s="215"/>
    </row>
    <row r="1106" spans="2:8" x14ac:dyDescent="0.2">
      <c r="B1106" s="113"/>
      <c r="C1106" s="248"/>
      <c r="D1106" s="114"/>
      <c r="E1106" s="177"/>
      <c r="F1106" s="187"/>
      <c r="G1106" s="215"/>
      <c r="H1106" s="215"/>
    </row>
    <row r="1107" spans="2:8" x14ac:dyDescent="0.2">
      <c r="B1107" s="113"/>
      <c r="C1107" s="248"/>
      <c r="D1107" s="114"/>
      <c r="E1107" s="177"/>
      <c r="F1107" s="187"/>
      <c r="G1107" s="215"/>
      <c r="H1107" s="215"/>
    </row>
    <row r="1108" spans="2:8" x14ac:dyDescent="0.2">
      <c r="B1108" s="113"/>
      <c r="C1108" s="248"/>
      <c r="D1108" s="114"/>
      <c r="E1108" s="177"/>
      <c r="F1108" s="187"/>
      <c r="G1108" s="215"/>
      <c r="H1108" s="215"/>
    </row>
    <row r="1109" spans="2:8" x14ac:dyDescent="0.2">
      <c r="B1109" s="113"/>
      <c r="C1109" s="248"/>
      <c r="D1109" s="114"/>
      <c r="E1109" s="177"/>
      <c r="F1109" s="187"/>
      <c r="G1109" s="215"/>
      <c r="H1109" s="215"/>
    </row>
    <row r="1110" spans="2:8" x14ac:dyDescent="0.2">
      <c r="B1110" s="113"/>
      <c r="C1110" s="248"/>
      <c r="D1110" s="114"/>
      <c r="E1110" s="177"/>
      <c r="F1110" s="187"/>
      <c r="G1110" s="215"/>
      <c r="H1110" s="215"/>
    </row>
    <row r="1111" spans="2:8" x14ac:dyDescent="0.2">
      <c r="B1111" s="113"/>
      <c r="C1111" s="248"/>
      <c r="D1111" s="114"/>
      <c r="E1111" s="177"/>
      <c r="F1111" s="187"/>
      <c r="G1111" s="215"/>
      <c r="H1111" s="215"/>
    </row>
    <row r="1112" spans="2:8" x14ac:dyDescent="0.2">
      <c r="B1112" s="113"/>
      <c r="C1112" s="248"/>
      <c r="D1112" s="114"/>
      <c r="E1112" s="177"/>
      <c r="F1112" s="187"/>
      <c r="G1112" s="215"/>
      <c r="H1112" s="215"/>
    </row>
    <row r="1113" spans="2:8" x14ac:dyDescent="0.2">
      <c r="B1113" s="113"/>
      <c r="C1113" s="248"/>
      <c r="D1113" s="114"/>
      <c r="E1113" s="177"/>
      <c r="F1113" s="187"/>
      <c r="G1113" s="215"/>
      <c r="H1113" s="215"/>
    </row>
    <row r="1114" spans="2:8" x14ac:dyDescent="0.2">
      <c r="B1114" s="113"/>
      <c r="C1114" s="248"/>
      <c r="D1114" s="114"/>
      <c r="E1114" s="177"/>
      <c r="F1114" s="187"/>
      <c r="G1114" s="215"/>
      <c r="H1114" s="215"/>
    </row>
    <row r="1115" spans="2:8" x14ac:dyDescent="0.2">
      <c r="B1115" s="113"/>
      <c r="C1115" s="248"/>
      <c r="D1115" s="114"/>
      <c r="E1115" s="177"/>
      <c r="F1115" s="187"/>
      <c r="G1115" s="215"/>
      <c r="H1115" s="215"/>
    </row>
    <row r="1116" spans="2:8" x14ac:dyDescent="0.2">
      <c r="B1116" s="113"/>
      <c r="C1116" s="248"/>
      <c r="D1116" s="114"/>
      <c r="E1116" s="177"/>
      <c r="F1116" s="187"/>
      <c r="G1116" s="215"/>
      <c r="H1116" s="215"/>
    </row>
    <row r="1117" spans="2:8" x14ac:dyDescent="0.2">
      <c r="B1117" s="113"/>
      <c r="C1117" s="248"/>
      <c r="D1117" s="114"/>
      <c r="E1117" s="177"/>
      <c r="F1117" s="187"/>
      <c r="G1117" s="215"/>
      <c r="H1117" s="215"/>
    </row>
    <row r="1118" spans="2:8" x14ac:dyDescent="0.2">
      <c r="B1118" s="113"/>
      <c r="C1118" s="248"/>
      <c r="D1118" s="114"/>
      <c r="E1118" s="177"/>
      <c r="F1118" s="187"/>
      <c r="G1118" s="215"/>
      <c r="H1118" s="215"/>
    </row>
    <row r="1119" spans="2:8" x14ac:dyDescent="0.2">
      <c r="B1119" s="113"/>
      <c r="C1119" s="248"/>
      <c r="D1119" s="114"/>
      <c r="E1119" s="177"/>
      <c r="F1119" s="187"/>
      <c r="G1119" s="215"/>
      <c r="H1119" s="215"/>
    </row>
    <row r="1120" spans="2:8" x14ac:dyDescent="0.2">
      <c r="B1120" s="113"/>
      <c r="C1120" s="248"/>
      <c r="D1120" s="114"/>
      <c r="E1120" s="177"/>
      <c r="F1120" s="187"/>
      <c r="G1120" s="215"/>
      <c r="H1120" s="215"/>
    </row>
    <row r="1121" spans="2:8" x14ac:dyDescent="0.2">
      <c r="B1121" s="113"/>
      <c r="C1121" s="248"/>
      <c r="D1121" s="114"/>
      <c r="E1121" s="177"/>
      <c r="F1121" s="187"/>
      <c r="G1121" s="215"/>
      <c r="H1121" s="215"/>
    </row>
    <row r="1122" spans="2:8" x14ac:dyDescent="0.2">
      <c r="B1122" s="113"/>
      <c r="C1122" s="248"/>
      <c r="D1122" s="114"/>
      <c r="E1122" s="177"/>
      <c r="F1122" s="187"/>
      <c r="G1122" s="215"/>
      <c r="H1122" s="215"/>
    </row>
    <row r="1123" spans="2:8" x14ac:dyDescent="0.2">
      <c r="B1123" s="113"/>
      <c r="C1123" s="248"/>
      <c r="D1123" s="114"/>
      <c r="E1123" s="177"/>
      <c r="F1123" s="187"/>
      <c r="G1123" s="215"/>
      <c r="H1123" s="215"/>
    </row>
    <row r="1124" spans="2:8" x14ac:dyDescent="0.2">
      <c r="B1124" s="113"/>
      <c r="C1124" s="248"/>
      <c r="D1124" s="114"/>
      <c r="E1124" s="177"/>
      <c r="F1124" s="187"/>
      <c r="G1124" s="215"/>
      <c r="H1124" s="215"/>
    </row>
    <row r="1125" spans="2:8" x14ac:dyDescent="0.2">
      <c r="B1125" s="113"/>
      <c r="C1125" s="248"/>
      <c r="D1125" s="114"/>
      <c r="E1125" s="177"/>
      <c r="F1125" s="187"/>
      <c r="G1125" s="215"/>
      <c r="H1125" s="215"/>
    </row>
    <row r="1126" spans="2:8" x14ac:dyDescent="0.2">
      <c r="B1126" s="113"/>
      <c r="C1126" s="248"/>
      <c r="D1126" s="114"/>
      <c r="E1126" s="177"/>
      <c r="F1126" s="187"/>
      <c r="G1126" s="215"/>
      <c r="H1126" s="215"/>
    </row>
    <row r="1127" spans="2:8" x14ac:dyDescent="0.2">
      <c r="B1127" s="113"/>
      <c r="C1127" s="248"/>
      <c r="D1127" s="114"/>
      <c r="E1127" s="177"/>
      <c r="F1127" s="187"/>
      <c r="G1127" s="215"/>
      <c r="H1127" s="215"/>
    </row>
    <row r="1128" spans="2:8" x14ac:dyDescent="0.2">
      <c r="B1128" s="113"/>
      <c r="C1128" s="248"/>
      <c r="D1128" s="114"/>
      <c r="E1128" s="177"/>
      <c r="F1128" s="187"/>
      <c r="G1128" s="215"/>
      <c r="H1128" s="215"/>
    </row>
    <row r="1129" spans="2:8" x14ac:dyDescent="0.2">
      <c r="B1129" s="113"/>
      <c r="C1129" s="248"/>
      <c r="D1129" s="114"/>
      <c r="E1129" s="177"/>
      <c r="F1129" s="187"/>
      <c r="G1129" s="215"/>
      <c r="H1129" s="215"/>
    </row>
    <row r="1130" spans="2:8" x14ac:dyDescent="0.2">
      <c r="B1130" s="113"/>
      <c r="C1130" s="248"/>
      <c r="D1130" s="114"/>
      <c r="E1130" s="177"/>
      <c r="F1130" s="187"/>
      <c r="G1130" s="215"/>
      <c r="H1130" s="215"/>
    </row>
    <row r="1131" spans="2:8" x14ac:dyDescent="0.2">
      <c r="B1131" s="113"/>
      <c r="C1131" s="248"/>
      <c r="D1131" s="114"/>
      <c r="E1131" s="177"/>
      <c r="F1131" s="187"/>
      <c r="G1131" s="215"/>
      <c r="H1131" s="215"/>
    </row>
    <row r="1132" spans="2:8" x14ac:dyDescent="0.2">
      <c r="B1132" s="113"/>
      <c r="C1132" s="248"/>
      <c r="D1132" s="114"/>
      <c r="E1132" s="177"/>
      <c r="F1132" s="187"/>
      <c r="G1132" s="215"/>
      <c r="H1132" s="215"/>
    </row>
    <row r="1133" spans="2:8" x14ac:dyDescent="0.2">
      <c r="B1133" s="113"/>
      <c r="C1133" s="248"/>
      <c r="D1133" s="114"/>
      <c r="E1133" s="177"/>
      <c r="F1133" s="187"/>
      <c r="G1133" s="215"/>
      <c r="H1133" s="215"/>
    </row>
    <row r="1134" spans="2:8" x14ac:dyDescent="0.2">
      <c r="B1134" s="113"/>
      <c r="C1134" s="248"/>
      <c r="D1134" s="114"/>
      <c r="E1134" s="177"/>
      <c r="F1134" s="187"/>
      <c r="G1134" s="215"/>
      <c r="H1134" s="215"/>
    </row>
    <row r="1135" spans="2:8" x14ac:dyDescent="0.2">
      <c r="B1135" s="113"/>
      <c r="C1135" s="248"/>
      <c r="D1135" s="114"/>
      <c r="E1135" s="177"/>
      <c r="F1135" s="187"/>
      <c r="G1135" s="215"/>
      <c r="H1135" s="215"/>
    </row>
    <row r="1136" spans="2:8" x14ac:dyDescent="0.2">
      <c r="B1136" s="113"/>
      <c r="C1136" s="248"/>
      <c r="D1136" s="114"/>
      <c r="E1136" s="177"/>
      <c r="F1136" s="187"/>
      <c r="G1136" s="215"/>
      <c r="H1136" s="215"/>
    </row>
    <row r="1137" spans="2:8" x14ac:dyDescent="0.2">
      <c r="B1137" s="113"/>
      <c r="C1137" s="248"/>
      <c r="D1137" s="114"/>
      <c r="E1137" s="177"/>
      <c r="F1137" s="187"/>
      <c r="G1137" s="215"/>
      <c r="H1137" s="215"/>
    </row>
    <row r="1138" spans="2:8" x14ac:dyDescent="0.2">
      <c r="B1138" s="113"/>
      <c r="C1138" s="248"/>
      <c r="D1138" s="114"/>
      <c r="E1138" s="177"/>
      <c r="F1138" s="187"/>
      <c r="G1138" s="215"/>
      <c r="H1138" s="215"/>
    </row>
    <row r="1139" spans="2:8" x14ac:dyDescent="0.2">
      <c r="B1139" s="113"/>
      <c r="C1139" s="248"/>
      <c r="D1139" s="114"/>
      <c r="E1139" s="177"/>
      <c r="F1139" s="187"/>
      <c r="G1139" s="215"/>
      <c r="H1139" s="215"/>
    </row>
    <row r="1140" spans="2:8" x14ac:dyDescent="0.2">
      <c r="B1140" s="113"/>
      <c r="C1140" s="248"/>
      <c r="D1140" s="114"/>
      <c r="E1140" s="177"/>
      <c r="F1140" s="187"/>
      <c r="G1140" s="215"/>
      <c r="H1140" s="215"/>
    </row>
    <row r="1141" spans="2:8" x14ac:dyDescent="0.2">
      <c r="B1141" s="113"/>
      <c r="C1141" s="248"/>
      <c r="D1141" s="114"/>
      <c r="E1141" s="177"/>
      <c r="F1141" s="187"/>
      <c r="G1141" s="215"/>
      <c r="H1141" s="215"/>
    </row>
    <row r="1142" spans="2:8" x14ac:dyDescent="0.2">
      <c r="B1142" s="113"/>
      <c r="C1142" s="248"/>
      <c r="D1142" s="114"/>
      <c r="E1142" s="177"/>
      <c r="F1142" s="187"/>
      <c r="G1142" s="215"/>
      <c r="H1142" s="215"/>
    </row>
    <row r="1143" spans="2:8" x14ac:dyDescent="0.2">
      <c r="B1143" s="113"/>
      <c r="C1143" s="248"/>
      <c r="D1143" s="114"/>
      <c r="E1143" s="177"/>
      <c r="F1143" s="187"/>
      <c r="G1143" s="215"/>
      <c r="H1143" s="215"/>
    </row>
    <row r="1144" spans="2:8" x14ac:dyDescent="0.2">
      <c r="B1144" s="113"/>
      <c r="C1144" s="248"/>
      <c r="D1144" s="114"/>
      <c r="E1144" s="177"/>
      <c r="F1144" s="187"/>
      <c r="G1144" s="215"/>
      <c r="H1144" s="215"/>
    </row>
    <row r="1145" spans="2:8" x14ac:dyDescent="0.2">
      <c r="B1145" s="113"/>
      <c r="C1145" s="248"/>
      <c r="D1145" s="114"/>
      <c r="E1145" s="177"/>
      <c r="F1145" s="187"/>
      <c r="G1145" s="215"/>
      <c r="H1145" s="215"/>
    </row>
    <row r="1146" spans="2:8" x14ac:dyDescent="0.2">
      <c r="B1146" s="113"/>
      <c r="C1146" s="248"/>
      <c r="D1146" s="114"/>
      <c r="E1146" s="177"/>
      <c r="F1146" s="187"/>
      <c r="G1146" s="215"/>
      <c r="H1146" s="215"/>
    </row>
    <row r="1147" spans="2:8" x14ac:dyDescent="0.2">
      <c r="B1147" s="113"/>
      <c r="C1147" s="248"/>
      <c r="D1147" s="114"/>
      <c r="E1147" s="177"/>
      <c r="F1147" s="187"/>
      <c r="G1147" s="215"/>
      <c r="H1147" s="215"/>
    </row>
    <row r="1148" spans="2:8" x14ac:dyDescent="0.2">
      <c r="B1148" s="113"/>
      <c r="C1148" s="248"/>
      <c r="D1148" s="114"/>
      <c r="E1148" s="177"/>
      <c r="F1148" s="187"/>
      <c r="G1148" s="215"/>
      <c r="H1148" s="215"/>
    </row>
    <row r="1149" spans="2:8" x14ac:dyDescent="0.2">
      <c r="B1149" s="113"/>
      <c r="C1149" s="248"/>
      <c r="D1149" s="114"/>
      <c r="E1149" s="177"/>
      <c r="F1149" s="187"/>
      <c r="G1149" s="215"/>
      <c r="H1149" s="215"/>
    </row>
    <row r="1150" spans="2:8" x14ac:dyDescent="0.2">
      <c r="B1150" s="113"/>
      <c r="C1150" s="248"/>
      <c r="D1150" s="114"/>
      <c r="E1150" s="177"/>
      <c r="F1150" s="187"/>
      <c r="G1150" s="215"/>
      <c r="H1150" s="215"/>
    </row>
    <row r="1151" spans="2:8" x14ac:dyDescent="0.2">
      <c r="B1151" s="113"/>
      <c r="C1151" s="248"/>
      <c r="D1151" s="114"/>
      <c r="E1151" s="177"/>
      <c r="F1151" s="187"/>
      <c r="G1151" s="215"/>
      <c r="H1151" s="215"/>
    </row>
    <row r="1152" spans="2:8" x14ac:dyDescent="0.2">
      <c r="B1152" s="113"/>
      <c r="C1152" s="248"/>
      <c r="D1152" s="114"/>
      <c r="E1152" s="177"/>
      <c r="F1152" s="187"/>
      <c r="G1152" s="215"/>
      <c r="H1152" s="215"/>
    </row>
    <row r="1153" spans="2:8" x14ac:dyDescent="0.2">
      <c r="B1153" s="113"/>
      <c r="C1153" s="248"/>
      <c r="D1153" s="114"/>
      <c r="E1153" s="177"/>
      <c r="F1153" s="187"/>
      <c r="G1153" s="215"/>
      <c r="H1153" s="215"/>
    </row>
    <row r="1154" spans="2:8" x14ac:dyDescent="0.2">
      <c r="B1154" s="113"/>
      <c r="C1154" s="248"/>
      <c r="D1154" s="114"/>
      <c r="E1154" s="177"/>
      <c r="F1154" s="187"/>
      <c r="G1154" s="215"/>
      <c r="H1154" s="215"/>
    </row>
    <row r="1155" spans="2:8" x14ac:dyDescent="0.2">
      <c r="B1155" s="113"/>
      <c r="C1155" s="248"/>
      <c r="D1155" s="114"/>
      <c r="E1155" s="177"/>
      <c r="F1155" s="187"/>
      <c r="G1155" s="215"/>
      <c r="H1155" s="215"/>
    </row>
    <row r="1156" spans="2:8" x14ac:dyDescent="0.2">
      <c r="B1156" s="113"/>
      <c r="C1156" s="248"/>
      <c r="D1156" s="114"/>
      <c r="E1156" s="177"/>
      <c r="F1156" s="187"/>
      <c r="G1156" s="215"/>
      <c r="H1156" s="215"/>
    </row>
    <row r="1157" spans="2:8" x14ac:dyDescent="0.2">
      <c r="B1157" s="113"/>
      <c r="C1157" s="248"/>
      <c r="D1157" s="114"/>
      <c r="E1157" s="177"/>
      <c r="F1157" s="187"/>
      <c r="G1157" s="215"/>
      <c r="H1157" s="215"/>
    </row>
    <row r="1158" spans="2:8" x14ac:dyDescent="0.2">
      <c r="B1158" s="113"/>
      <c r="C1158" s="248"/>
      <c r="D1158" s="114"/>
      <c r="E1158" s="177"/>
      <c r="F1158" s="187"/>
      <c r="G1158" s="215"/>
      <c r="H1158" s="215"/>
    </row>
    <row r="1159" spans="2:8" x14ac:dyDescent="0.2">
      <c r="B1159" s="113"/>
      <c r="C1159" s="248"/>
      <c r="D1159" s="114"/>
      <c r="E1159" s="177"/>
      <c r="F1159" s="187"/>
      <c r="G1159" s="215"/>
      <c r="H1159" s="215"/>
    </row>
    <row r="1160" spans="2:8" x14ac:dyDescent="0.2">
      <c r="B1160" s="113"/>
      <c r="C1160" s="248"/>
      <c r="D1160" s="114"/>
      <c r="E1160" s="177"/>
      <c r="F1160" s="187"/>
      <c r="G1160" s="215"/>
      <c r="H1160" s="215"/>
    </row>
    <row r="1161" spans="2:8" x14ac:dyDescent="0.2">
      <c r="B1161" s="113"/>
      <c r="C1161" s="248"/>
      <c r="D1161" s="114"/>
      <c r="E1161" s="177"/>
      <c r="F1161" s="187"/>
      <c r="G1161" s="215"/>
      <c r="H1161" s="215"/>
    </row>
    <row r="1162" spans="2:8" x14ac:dyDescent="0.2">
      <c r="B1162" s="113"/>
      <c r="C1162" s="248"/>
      <c r="D1162" s="114"/>
      <c r="E1162" s="177"/>
      <c r="F1162" s="187"/>
      <c r="G1162" s="215"/>
      <c r="H1162" s="215"/>
    </row>
    <row r="1163" spans="2:8" x14ac:dyDescent="0.2">
      <c r="B1163" s="113"/>
      <c r="C1163" s="248"/>
      <c r="D1163" s="114"/>
      <c r="E1163" s="177"/>
      <c r="F1163" s="187"/>
      <c r="G1163" s="215"/>
      <c r="H1163" s="215"/>
    </row>
    <row r="1164" spans="2:8" x14ac:dyDescent="0.2">
      <c r="B1164" s="113"/>
      <c r="C1164" s="248"/>
      <c r="D1164" s="114"/>
      <c r="E1164" s="177"/>
      <c r="F1164" s="187"/>
      <c r="G1164" s="215"/>
      <c r="H1164" s="215"/>
    </row>
    <row r="1165" spans="2:8" x14ac:dyDescent="0.2">
      <c r="B1165" s="113"/>
      <c r="C1165" s="248"/>
      <c r="D1165" s="114"/>
      <c r="E1165" s="177"/>
      <c r="F1165" s="187"/>
      <c r="G1165" s="215"/>
      <c r="H1165" s="215"/>
    </row>
    <row r="1166" spans="2:8" x14ac:dyDescent="0.2">
      <c r="B1166" s="113"/>
      <c r="C1166" s="248"/>
      <c r="D1166" s="114"/>
      <c r="E1166" s="177"/>
      <c r="F1166" s="187"/>
      <c r="G1166" s="215"/>
      <c r="H1166" s="215"/>
    </row>
    <row r="1167" spans="2:8" x14ac:dyDescent="0.2">
      <c r="B1167" s="113"/>
      <c r="C1167" s="248"/>
      <c r="D1167" s="114"/>
      <c r="E1167" s="177"/>
      <c r="F1167" s="187"/>
      <c r="G1167" s="215"/>
      <c r="H1167" s="215"/>
    </row>
    <row r="1168" spans="2:8" x14ac:dyDescent="0.2">
      <c r="B1168" s="113"/>
      <c r="C1168" s="248"/>
      <c r="D1168" s="114"/>
      <c r="E1168" s="177"/>
      <c r="F1168" s="187"/>
      <c r="G1168" s="215"/>
      <c r="H1168" s="215"/>
    </row>
    <row r="1169" spans="2:8" x14ac:dyDescent="0.2">
      <c r="B1169" s="113"/>
      <c r="C1169" s="248"/>
      <c r="D1169" s="114"/>
      <c r="E1169" s="177"/>
      <c r="F1169" s="187"/>
      <c r="G1169" s="215"/>
      <c r="H1169" s="215"/>
    </row>
    <row r="1170" spans="2:8" x14ac:dyDescent="0.2">
      <c r="B1170" s="113"/>
      <c r="C1170" s="248"/>
      <c r="D1170" s="114"/>
      <c r="E1170" s="177"/>
      <c r="F1170" s="187"/>
      <c r="G1170" s="215"/>
      <c r="H1170" s="215"/>
    </row>
    <row r="1171" spans="2:8" x14ac:dyDescent="0.2">
      <c r="B1171" s="113"/>
      <c r="C1171" s="248"/>
      <c r="D1171" s="114"/>
      <c r="E1171" s="177"/>
      <c r="F1171" s="187"/>
      <c r="G1171" s="215"/>
      <c r="H1171" s="215"/>
    </row>
    <row r="1172" spans="2:8" x14ac:dyDescent="0.2">
      <c r="B1172" s="113"/>
      <c r="C1172" s="248"/>
      <c r="D1172" s="114"/>
      <c r="E1172" s="177"/>
      <c r="F1172" s="187"/>
      <c r="G1172" s="215"/>
      <c r="H1172" s="215"/>
    </row>
    <row r="1173" spans="2:8" x14ac:dyDescent="0.2">
      <c r="B1173" s="113"/>
      <c r="C1173" s="248"/>
      <c r="D1173" s="114"/>
      <c r="E1173" s="177"/>
      <c r="F1173" s="187"/>
      <c r="G1173" s="215"/>
      <c r="H1173" s="215"/>
    </row>
    <row r="1174" spans="2:8" x14ac:dyDescent="0.2">
      <c r="B1174" s="113"/>
      <c r="C1174" s="248"/>
      <c r="D1174" s="114"/>
      <c r="E1174" s="177"/>
      <c r="F1174" s="187"/>
      <c r="G1174" s="215"/>
      <c r="H1174" s="215"/>
    </row>
    <row r="1175" spans="2:8" x14ac:dyDescent="0.2">
      <c r="B1175" s="113"/>
      <c r="C1175" s="248"/>
      <c r="D1175" s="114"/>
      <c r="E1175" s="177"/>
      <c r="F1175" s="187"/>
      <c r="G1175" s="215"/>
      <c r="H1175" s="215"/>
    </row>
    <row r="1176" spans="2:8" x14ac:dyDescent="0.2">
      <c r="B1176" s="113"/>
      <c r="C1176" s="248"/>
      <c r="D1176" s="114"/>
      <c r="E1176" s="177"/>
      <c r="F1176" s="187"/>
      <c r="G1176" s="215"/>
      <c r="H1176" s="215"/>
    </row>
    <row r="1177" spans="2:8" x14ac:dyDescent="0.2">
      <c r="B1177" s="113"/>
      <c r="C1177" s="248"/>
      <c r="D1177" s="114"/>
      <c r="E1177" s="177"/>
      <c r="F1177" s="187"/>
      <c r="G1177" s="215"/>
      <c r="H1177" s="215"/>
    </row>
    <row r="1178" spans="2:8" x14ac:dyDescent="0.2">
      <c r="B1178" s="113"/>
      <c r="C1178" s="248"/>
      <c r="D1178" s="114"/>
      <c r="E1178" s="177"/>
      <c r="F1178" s="187"/>
      <c r="G1178" s="215"/>
      <c r="H1178" s="215"/>
    </row>
    <row r="1179" spans="2:8" x14ac:dyDescent="0.2">
      <c r="B1179" s="113"/>
      <c r="C1179" s="248"/>
      <c r="D1179" s="114"/>
      <c r="E1179" s="177"/>
      <c r="F1179" s="187"/>
      <c r="G1179" s="215"/>
      <c r="H1179" s="215"/>
    </row>
    <row r="1180" spans="2:8" x14ac:dyDescent="0.2">
      <c r="B1180" s="113"/>
      <c r="C1180" s="248"/>
      <c r="D1180" s="114"/>
      <c r="E1180" s="177"/>
      <c r="F1180" s="187"/>
      <c r="G1180" s="215"/>
      <c r="H1180" s="215"/>
    </row>
    <row r="1181" spans="2:8" x14ac:dyDescent="0.2">
      <c r="B1181" s="113"/>
      <c r="C1181" s="248"/>
      <c r="D1181" s="114"/>
      <c r="E1181" s="177"/>
      <c r="F1181" s="187"/>
      <c r="G1181" s="215"/>
      <c r="H1181" s="215"/>
    </row>
    <row r="1182" spans="2:8" x14ac:dyDescent="0.2">
      <c r="B1182" s="113"/>
      <c r="C1182" s="248"/>
      <c r="D1182" s="114"/>
      <c r="E1182" s="177"/>
      <c r="F1182" s="187"/>
      <c r="G1182" s="215"/>
      <c r="H1182" s="215"/>
    </row>
    <row r="1183" spans="2:8" x14ac:dyDescent="0.2">
      <c r="B1183" s="113"/>
      <c r="C1183" s="248"/>
      <c r="D1183" s="114"/>
      <c r="E1183" s="177"/>
      <c r="F1183" s="187"/>
      <c r="G1183" s="215"/>
      <c r="H1183" s="215"/>
    </row>
    <row r="1184" spans="2:8" x14ac:dyDescent="0.2">
      <c r="B1184" s="113"/>
      <c r="C1184" s="248"/>
      <c r="D1184" s="114"/>
      <c r="E1184" s="177"/>
      <c r="F1184" s="187"/>
      <c r="G1184" s="215"/>
      <c r="H1184" s="215"/>
    </row>
    <row r="1185" spans="2:8" x14ac:dyDescent="0.2">
      <c r="B1185" s="113"/>
      <c r="C1185" s="248"/>
      <c r="D1185" s="114"/>
      <c r="E1185" s="177"/>
      <c r="F1185" s="187"/>
      <c r="G1185" s="215"/>
      <c r="H1185" s="215"/>
    </row>
    <row r="1186" spans="2:8" x14ac:dyDescent="0.2">
      <c r="B1186" s="113"/>
      <c r="C1186" s="248"/>
      <c r="D1186" s="114"/>
      <c r="E1186" s="177"/>
      <c r="F1186" s="187"/>
      <c r="G1186" s="215"/>
      <c r="H1186" s="215"/>
    </row>
    <row r="1187" spans="2:8" x14ac:dyDescent="0.2">
      <c r="B1187" s="113"/>
      <c r="C1187" s="248"/>
      <c r="D1187" s="114"/>
      <c r="E1187" s="177"/>
      <c r="F1187" s="187"/>
      <c r="G1187" s="215"/>
      <c r="H1187" s="215"/>
    </row>
    <row r="1188" spans="2:8" x14ac:dyDescent="0.2">
      <c r="B1188" s="113"/>
      <c r="C1188" s="248"/>
      <c r="D1188" s="114"/>
      <c r="E1188" s="177"/>
      <c r="F1188" s="187"/>
      <c r="G1188" s="215"/>
      <c r="H1188" s="215"/>
    </row>
    <row r="1189" spans="2:8" x14ac:dyDescent="0.2">
      <c r="B1189" s="113"/>
      <c r="C1189" s="248"/>
      <c r="D1189" s="114"/>
      <c r="E1189" s="177"/>
      <c r="F1189" s="187"/>
      <c r="G1189" s="215"/>
      <c r="H1189" s="215"/>
    </row>
    <row r="1190" spans="2:8" x14ac:dyDescent="0.2">
      <c r="B1190" s="113"/>
      <c r="C1190" s="248"/>
      <c r="D1190" s="114"/>
      <c r="E1190" s="177"/>
      <c r="F1190" s="187"/>
      <c r="G1190" s="215"/>
      <c r="H1190" s="215"/>
    </row>
    <row r="1191" spans="2:8" x14ac:dyDescent="0.2">
      <c r="B1191" s="113"/>
      <c r="C1191" s="248"/>
      <c r="D1191" s="114"/>
      <c r="E1191" s="177"/>
      <c r="F1191" s="187"/>
      <c r="G1191" s="215"/>
      <c r="H1191" s="215"/>
    </row>
    <row r="1192" spans="2:8" x14ac:dyDescent="0.2">
      <c r="B1192" s="113"/>
      <c r="C1192" s="248"/>
      <c r="D1192" s="114"/>
      <c r="E1192" s="177"/>
      <c r="F1192" s="187"/>
      <c r="G1192" s="215"/>
      <c r="H1192" s="215"/>
    </row>
    <row r="1193" spans="2:8" x14ac:dyDescent="0.2">
      <c r="B1193" s="113"/>
      <c r="C1193" s="248"/>
      <c r="D1193" s="114"/>
      <c r="E1193" s="177"/>
      <c r="F1193" s="187"/>
      <c r="G1193" s="215"/>
      <c r="H1193" s="215"/>
    </row>
    <row r="1194" spans="2:8" x14ac:dyDescent="0.2">
      <c r="B1194" s="113"/>
      <c r="C1194" s="248"/>
      <c r="D1194" s="114"/>
      <c r="E1194" s="177"/>
      <c r="F1194" s="187"/>
      <c r="G1194" s="215"/>
      <c r="H1194" s="215"/>
    </row>
    <row r="1195" spans="2:8" x14ac:dyDescent="0.2">
      <c r="B1195" s="113"/>
      <c r="C1195" s="248"/>
      <c r="D1195" s="114"/>
      <c r="E1195" s="177"/>
      <c r="F1195" s="187"/>
      <c r="G1195" s="215"/>
      <c r="H1195" s="215"/>
    </row>
    <row r="1196" spans="2:8" x14ac:dyDescent="0.2">
      <c r="B1196" s="113"/>
      <c r="C1196" s="248"/>
      <c r="D1196" s="114"/>
      <c r="E1196" s="177"/>
      <c r="F1196" s="187"/>
      <c r="G1196" s="215"/>
      <c r="H1196" s="215"/>
    </row>
    <row r="1197" spans="2:8" x14ac:dyDescent="0.2">
      <c r="B1197" s="113"/>
      <c r="C1197" s="248"/>
      <c r="D1197" s="114"/>
      <c r="E1197" s="177"/>
      <c r="F1197" s="187"/>
      <c r="G1197" s="215"/>
      <c r="H1197" s="215"/>
    </row>
    <row r="1198" spans="2:8" x14ac:dyDescent="0.2">
      <c r="B1198" s="113"/>
      <c r="C1198" s="248"/>
      <c r="D1198" s="114"/>
      <c r="E1198" s="177"/>
      <c r="F1198" s="187"/>
      <c r="G1198" s="215"/>
      <c r="H1198" s="215"/>
    </row>
    <row r="1199" spans="2:8" x14ac:dyDescent="0.2">
      <c r="B1199" s="113"/>
      <c r="C1199" s="248"/>
      <c r="D1199" s="114"/>
      <c r="E1199" s="177"/>
      <c r="F1199" s="187"/>
      <c r="G1199" s="215"/>
      <c r="H1199" s="215"/>
    </row>
    <row r="1200" spans="2:8" x14ac:dyDescent="0.2">
      <c r="B1200" s="113"/>
      <c r="C1200" s="248"/>
      <c r="D1200" s="114"/>
      <c r="E1200" s="177"/>
      <c r="F1200" s="187"/>
      <c r="G1200" s="215"/>
      <c r="H1200" s="215"/>
    </row>
    <row r="1201" spans="2:8" x14ac:dyDescent="0.2">
      <c r="B1201" s="113"/>
      <c r="C1201" s="248"/>
      <c r="D1201" s="114"/>
      <c r="E1201" s="177"/>
      <c r="F1201" s="187"/>
      <c r="G1201" s="215"/>
      <c r="H1201" s="215"/>
    </row>
    <row r="1202" spans="2:8" x14ac:dyDescent="0.2">
      <c r="B1202" s="113"/>
      <c r="C1202" s="248"/>
      <c r="D1202" s="114"/>
      <c r="E1202" s="177"/>
      <c r="F1202" s="187"/>
      <c r="G1202" s="215"/>
      <c r="H1202" s="215"/>
    </row>
    <row r="1203" spans="2:8" x14ac:dyDescent="0.2">
      <c r="B1203" s="113"/>
      <c r="C1203" s="248"/>
      <c r="D1203" s="114"/>
      <c r="E1203" s="177"/>
      <c r="F1203" s="187"/>
      <c r="G1203" s="215"/>
      <c r="H1203" s="215"/>
    </row>
    <row r="1204" spans="2:8" x14ac:dyDescent="0.2">
      <c r="B1204" s="113"/>
      <c r="C1204" s="248"/>
      <c r="D1204" s="114"/>
      <c r="E1204" s="177"/>
      <c r="F1204" s="187"/>
      <c r="G1204" s="215"/>
      <c r="H1204" s="215"/>
    </row>
    <row r="1205" spans="2:8" x14ac:dyDescent="0.2">
      <c r="B1205" s="113"/>
      <c r="C1205" s="248"/>
      <c r="D1205" s="114"/>
      <c r="E1205" s="177"/>
      <c r="F1205" s="187"/>
      <c r="G1205" s="215"/>
      <c r="H1205" s="215"/>
    </row>
    <row r="1206" spans="2:8" x14ac:dyDescent="0.2">
      <c r="B1206" s="113"/>
      <c r="C1206" s="248"/>
      <c r="D1206" s="114"/>
      <c r="E1206" s="177"/>
      <c r="F1206" s="187"/>
      <c r="G1206" s="215"/>
      <c r="H1206" s="215"/>
    </row>
    <row r="1207" spans="2:8" x14ac:dyDescent="0.2">
      <c r="B1207" s="113"/>
      <c r="C1207" s="248"/>
      <c r="D1207" s="114"/>
      <c r="E1207" s="177"/>
      <c r="F1207" s="187"/>
      <c r="G1207" s="215"/>
      <c r="H1207" s="215"/>
    </row>
    <row r="1208" spans="2:8" x14ac:dyDescent="0.2">
      <c r="B1208" s="113"/>
      <c r="C1208" s="248"/>
      <c r="D1208" s="114"/>
      <c r="E1208" s="177"/>
      <c r="F1208" s="187"/>
      <c r="G1208" s="215"/>
      <c r="H1208" s="215"/>
    </row>
    <row r="1209" spans="2:8" x14ac:dyDescent="0.2">
      <c r="B1209" s="113"/>
      <c r="C1209" s="248"/>
      <c r="D1209" s="114"/>
      <c r="E1209" s="177"/>
      <c r="F1209" s="187"/>
      <c r="G1209" s="215"/>
      <c r="H1209" s="215"/>
    </row>
    <row r="1210" spans="2:8" x14ac:dyDescent="0.2">
      <c r="B1210" s="113"/>
      <c r="C1210" s="248"/>
      <c r="D1210" s="114"/>
      <c r="E1210" s="177"/>
      <c r="F1210" s="187"/>
      <c r="G1210" s="215"/>
      <c r="H1210" s="215"/>
    </row>
    <row r="1211" spans="2:8" x14ac:dyDescent="0.2">
      <c r="B1211" s="113"/>
      <c r="C1211" s="248"/>
      <c r="D1211" s="114"/>
      <c r="E1211" s="177"/>
      <c r="F1211" s="187"/>
      <c r="G1211" s="215"/>
      <c r="H1211" s="215"/>
    </row>
    <row r="1212" spans="2:8" x14ac:dyDescent="0.2">
      <c r="B1212" s="113"/>
      <c r="C1212" s="248"/>
      <c r="D1212" s="114"/>
      <c r="E1212" s="177"/>
      <c r="F1212" s="187"/>
      <c r="G1212" s="215"/>
      <c r="H1212" s="215"/>
    </row>
    <row r="1213" spans="2:8" x14ac:dyDescent="0.2">
      <c r="B1213" s="113"/>
      <c r="C1213" s="248"/>
      <c r="D1213" s="114"/>
      <c r="E1213" s="177"/>
      <c r="F1213" s="187"/>
      <c r="G1213" s="215"/>
      <c r="H1213" s="215"/>
    </row>
    <row r="1214" spans="2:8" x14ac:dyDescent="0.2">
      <c r="B1214" s="113"/>
      <c r="C1214" s="248"/>
      <c r="D1214" s="114"/>
      <c r="E1214" s="177"/>
      <c r="F1214" s="187"/>
      <c r="G1214" s="215"/>
      <c r="H1214" s="215"/>
    </row>
    <row r="1215" spans="2:8" x14ac:dyDescent="0.2">
      <c r="B1215" s="113"/>
      <c r="C1215" s="248"/>
      <c r="D1215" s="114"/>
      <c r="E1215" s="177"/>
      <c r="F1215" s="187"/>
      <c r="G1215" s="215"/>
      <c r="H1215" s="215"/>
    </row>
    <row r="1216" spans="2:8" x14ac:dyDescent="0.2">
      <c r="B1216" s="113"/>
      <c r="C1216" s="248"/>
      <c r="D1216" s="114"/>
      <c r="E1216" s="177"/>
      <c r="F1216" s="187"/>
      <c r="G1216" s="215"/>
      <c r="H1216" s="215"/>
    </row>
    <row r="1217" spans="2:8" x14ac:dyDescent="0.2">
      <c r="B1217" s="113"/>
      <c r="C1217" s="248"/>
      <c r="D1217" s="114"/>
      <c r="E1217" s="177"/>
      <c r="F1217" s="187"/>
      <c r="G1217" s="215"/>
      <c r="H1217" s="215"/>
    </row>
    <row r="1218" spans="2:8" x14ac:dyDescent="0.2">
      <c r="B1218" s="113"/>
      <c r="C1218" s="248"/>
      <c r="D1218" s="114"/>
      <c r="E1218" s="177"/>
      <c r="F1218" s="187"/>
      <c r="G1218" s="215"/>
      <c r="H1218" s="215"/>
    </row>
    <row r="1219" spans="2:8" x14ac:dyDescent="0.2">
      <c r="B1219" s="113"/>
      <c r="C1219" s="248"/>
      <c r="D1219" s="114"/>
      <c r="E1219" s="177"/>
      <c r="F1219" s="187"/>
      <c r="G1219" s="215"/>
      <c r="H1219" s="215"/>
    </row>
    <row r="1220" spans="2:8" x14ac:dyDescent="0.2">
      <c r="B1220" s="113"/>
      <c r="C1220" s="248"/>
      <c r="D1220" s="114"/>
      <c r="E1220" s="177"/>
      <c r="F1220" s="187"/>
      <c r="G1220" s="215"/>
      <c r="H1220" s="215"/>
    </row>
    <row r="1221" spans="2:8" x14ac:dyDescent="0.2">
      <c r="B1221" s="113"/>
      <c r="C1221" s="248"/>
      <c r="D1221" s="114"/>
      <c r="E1221" s="177"/>
      <c r="F1221" s="187"/>
      <c r="G1221" s="215"/>
      <c r="H1221" s="215"/>
    </row>
    <row r="1222" spans="2:8" x14ac:dyDescent="0.2">
      <c r="B1222" s="113"/>
      <c r="C1222" s="248"/>
      <c r="D1222" s="114"/>
      <c r="E1222" s="177"/>
      <c r="F1222" s="187"/>
      <c r="G1222" s="215"/>
      <c r="H1222" s="215"/>
    </row>
    <row r="1223" spans="2:8" x14ac:dyDescent="0.2">
      <c r="B1223" s="113"/>
      <c r="C1223" s="248"/>
      <c r="D1223" s="114"/>
      <c r="E1223" s="177"/>
      <c r="F1223" s="187"/>
      <c r="G1223" s="215"/>
      <c r="H1223" s="215"/>
    </row>
    <row r="1224" spans="2:8" x14ac:dyDescent="0.2">
      <c r="B1224" s="113"/>
      <c r="C1224" s="248"/>
      <c r="D1224" s="114"/>
      <c r="E1224" s="177"/>
      <c r="F1224" s="187"/>
      <c r="G1224" s="215"/>
      <c r="H1224" s="215"/>
    </row>
    <row r="1225" spans="2:8" x14ac:dyDescent="0.2">
      <c r="B1225" s="113"/>
      <c r="C1225" s="248"/>
      <c r="D1225" s="114"/>
      <c r="E1225" s="177"/>
      <c r="F1225" s="187"/>
      <c r="G1225" s="215"/>
      <c r="H1225" s="215"/>
    </row>
    <row r="1226" spans="2:8" x14ac:dyDescent="0.2">
      <c r="B1226" s="113"/>
      <c r="C1226" s="248"/>
      <c r="D1226" s="114"/>
      <c r="E1226" s="177"/>
      <c r="F1226" s="187"/>
      <c r="G1226" s="215"/>
      <c r="H1226" s="215"/>
    </row>
    <row r="1227" spans="2:8" x14ac:dyDescent="0.2">
      <c r="B1227" s="113"/>
      <c r="C1227" s="248"/>
      <c r="D1227" s="114"/>
      <c r="E1227" s="177"/>
      <c r="F1227" s="187"/>
      <c r="G1227" s="215"/>
      <c r="H1227" s="215"/>
    </row>
    <row r="1228" spans="2:8" x14ac:dyDescent="0.2">
      <c r="B1228" s="113"/>
      <c r="C1228" s="248"/>
      <c r="D1228" s="114"/>
      <c r="E1228" s="177"/>
      <c r="F1228" s="187"/>
      <c r="G1228" s="215"/>
      <c r="H1228" s="215"/>
    </row>
    <row r="1229" spans="2:8" x14ac:dyDescent="0.2">
      <c r="B1229" s="113"/>
      <c r="C1229" s="248"/>
      <c r="D1229" s="114"/>
      <c r="E1229" s="177"/>
      <c r="F1229" s="187"/>
      <c r="G1229" s="215"/>
      <c r="H1229" s="215"/>
    </row>
    <row r="1230" spans="2:8" x14ac:dyDescent="0.2">
      <c r="B1230" s="113"/>
      <c r="C1230" s="248"/>
      <c r="D1230" s="114"/>
      <c r="E1230" s="177"/>
      <c r="F1230" s="187"/>
      <c r="G1230" s="215"/>
      <c r="H1230" s="215"/>
    </row>
    <row r="1231" spans="2:8" x14ac:dyDescent="0.2">
      <c r="B1231" s="113"/>
      <c r="C1231" s="248"/>
      <c r="D1231" s="114"/>
      <c r="E1231" s="177"/>
      <c r="F1231" s="187"/>
      <c r="G1231" s="215"/>
      <c r="H1231" s="215"/>
    </row>
    <row r="1232" spans="2:8" x14ac:dyDescent="0.2">
      <c r="B1232" s="113"/>
      <c r="C1232" s="248"/>
      <c r="D1232" s="114"/>
      <c r="E1232" s="177"/>
      <c r="F1232" s="187"/>
      <c r="G1232" s="215"/>
      <c r="H1232" s="215"/>
    </row>
    <row r="1233" spans="2:8" x14ac:dyDescent="0.2">
      <c r="B1233" s="113"/>
      <c r="C1233" s="248"/>
      <c r="D1233" s="114"/>
      <c r="E1233" s="177"/>
      <c r="F1233" s="187"/>
      <c r="G1233" s="215"/>
      <c r="H1233" s="215"/>
    </row>
    <row r="1234" spans="2:8" x14ac:dyDescent="0.2">
      <c r="B1234" s="113"/>
      <c r="C1234" s="248"/>
      <c r="D1234" s="114"/>
      <c r="E1234" s="177"/>
      <c r="F1234" s="187"/>
      <c r="G1234" s="215"/>
      <c r="H1234" s="215"/>
    </row>
    <row r="1235" spans="2:8" x14ac:dyDescent="0.2">
      <c r="B1235" s="113"/>
      <c r="C1235" s="248"/>
      <c r="D1235" s="114"/>
      <c r="E1235" s="177"/>
      <c r="F1235" s="187"/>
      <c r="G1235" s="215"/>
      <c r="H1235" s="215"/>
    </row>
    <row r="1236" spans="2:8" x14ac:dyDescent="0.2">
      <c r="B1236" s="113"/>
      <c r="C1236" s="248"/>
      <c r="D1236" s="114"/>
      <c r="E1236" s="177"/>
      <c r="F1236" s="187"/>
      <c r="G1236" s="215"/>
      <c r="H1236" s="215"/>
    </row>
    <row r="1237" spans="2:8" x14ac:dyDescent="0.2">
      <c r="B1237" s="113"/>
      <c r="C1237" s="248"/>
      <c r="D1237" s="114"/>
      <c r="E1237" s="177"/>
      <c r="F1237" s="187"/>
      <c r="G1237" s="215"/>
      <c r="H1237" s="215"/>
    </row>
    <row r="1238" spans="2:8" x14ac:dyDescent="0.2">
      <c r="B1238" s="113"/>
      <c r="C1238" s="248"/>
      <c r="D1238" s="114"/>
      <c r="E1238" s="177"/>
      <c r="F1238" s="187"/>
      <c r="G1238" s="215"/>
      <c r="H1238" s="215"/>
    </row>
    <row r="1239" spans="2:8" x14ac:dyDescent="0.2">
      <c r="B1239" s="113"/>
      <c r="C1239" s="248"/>
      <c r="D1239" s="114"/>
      <c r="E1239" s="177"/>
      <c r="F1239" s="187"/>
      <c r="G1239" s="215"/>
      <c r="H1239" s="215"/>
    </row>
    <row r="1240" spans="2:8" x14ac:dyDescent="0.2">
      <c r="B1240" s="113"/>
      <c r="C1240" s="248"/>
      <c r="D1240" s="114"/>
      <c r="E1240" s="177"/>
      <c r="F1240" s="187"/>
      <c r="G1240" s="215"/>
      <c r="H1240" s="215"/>
    </row>
    <row r="1241" spans="2:8" x14ac:dyDescent="0.2">
      <c r="B1241" s="113"/>
      <c r="C1241" s="248"/>
      <c r="D1241" s="114"/>
      <c r="E1241" s="177"/>
      <c r="F1241" s="187"/>
      <c r="G1241" s="215"/>
      <c r="H1241" s="215"/>
    </row>
    <row r="1242" spans="2:8" x14ac:dyDescent="0.2">
      <c r="B1242" s="113"/>
      <c r="C1242" s="248"/>
      <c r="D1242" s="114"/>
      <c r="E1242" s="177"/>
      <c r="F1242" s="187"/>
      <c r="G1242" s="215"/>
      <c r="H1242" s="215"/>
    </row>
    <row r="1243" spans="2:8" x14ac:dyDescent="0.2">
      <c r="B1243" s="113"/>
      <c r="C1243" s="248"/>
      <c r="D1243" s="114"/>
      <c r="E1243" s="177"/>
      <c r="F1243" s="187"/>
      <c r="G1243" s="215"/>
      <c r="H1243" s="215"/>
    </row>
    <row r="1244" spans="2:8" x14ac:dyDescent="0.2">
      <c r="B1244" s="113"/>
      <c r="C1244" s="248"/>
      <c r="D1244" s="114"/>
      <c r="E1244" s="177"/>
      <c r="F1244" s="187"/>
      <c r="G1244" s="215"/>
      <c r="H1244" s="215"/>
    </row>
    <row r="1245" spans="2:8" x14ac:dyDescent="0.2">
      <c r="B1245" s="113"/>
      <c r="C1245" s="248"/>
      <c r="D1245" s="114"/>
      <c r="E1245" s="177"/>
      <c r="F1245" s="187"/>
      <c r="G1245" s="215"/>
      <c r="H1245" s="215"/>
    </row>
    <row r="1246" spans="2:8" x14ac:dyDescent="0.2">
      <c r="B1246" s="113"/>
      <c r="C1246" s="248"/>
      <c r="D1246" s="114"/>
      <c r="E1246" s="177"/>
      <c r="F1246" s="187"/>
      <c r="G1246" s="215"/>
      <c r="H1246" s="215"/>
    </row>
    <row r="1247" spans="2:8" x14ac:dyDescent="0.2">
      <c r="B1247" s="113"/>
      <c r="C1247" s="248"/>
      <c r="D1247" s="114"/>
      <c r="E1247" s="177"/>
      <c r="F1247" s="187"/>
      <c r="G1247" s="215"/>
      <c r="H1247" s="215"/>
    </row>
    <row r="1248" spans="2:8" x14ac:dyDescent="0.2">
      <c r="B1248" s="113"/>
      <c r="C1248" s="248"/>
      <c r="D1248" s="114"/>
      <c r="E1248" s="177"/>
      <c r="F1248" s="187"/>
      <c r="G1248" s="215"/>
      <c r="H1248" s="215"/>
    </row>
    <row r="1249" spans="2:8" x14ac:dyDescent="0.2">
      <c r="B1249" s="113"/>
      <c r="C1249" s="248"/>
      <c r="D1249" s="114"/>
      <c r="E1249" s="177"/>
      <c r="F1249" s="187"/>
      <c r="G1249" s="215"/>
      <c r="H1249" s="215"/>
    </row>
    <row r="1250" spans="2:8" x14ac:dyDescent="0.2">
      <c r="B1250" s="113"/>
      <c r="C1250" s="248"/>
      <c r="D1250" s="114"/>
      <c r="E1250" s="177"/>
      <c r="F1250" s="187"/>
      <c r="G1250" s="215"/>
      <c r="H1250" s="215"/>
    </row>
    <row r="1251" spans="2:8" x14ac:dyDescent="0.2">
      <c r="B1251" s="113"/>
      <c r="C1251" s="248"/>
      <c r="D1251" s="114"/>
      <c r="E1251" s="177"/>
      <c r="F1251" s="187"/>
      <c r="G1251" s="215"/>
      <c r="H1251" s="215"/>
    </row>
    <row r="1252" spans="2:8" x14ac:dyDescent="0.2">
      <c r="B1252" s="113"/>
      <c r="C1252" s="248"/>
      <c r="D1252" s="114"/>
      <c r="E1252" s="177"/>
      <c r="F1252" s="187"/>
      <c r="G1252" s="215"/>
      <c r="H1252" s="215"/>
    </row>
    <row r="1253" spans="2:8" x14ac:dyDescent="0.2">
      <c r="B1253" s="113"/>
      <c r="C1253" s="248"/>
      <c r="D1253" s="114"/>
      <c r="E1253" s="177"/>
      <c r="F1253" s="187"/>
      <c r="G1253" s="215"/>
      <c r="H1253" s="215"/>
    </row>
    <row r="1254" spans="2:8" x14ac:dyDescent="0.2">
      <c r="B1254" s="113"/>
      <c r="C1254" s="248"/>
      <c r="D1254" s="114"/>
      <c r="E1254" s="177"/>
      <c r="F1254" s="187"/>
      <c r="G1254" s="215"/>
      <c r="H1254" s="215"/>
    </row>
    <row r="1255" spans="2:8" x14ac:dyDescent="0.2">
      <c r="B1255" s="113"/>
      <c r="C1255" s="248"/>
      <c r="D1255" s="114"/>
      <c r="E1255" s="177"/>
      <c r="F1255" s="187"/>
      <c r="G1255" s="215"/>
      <c r="H1255" s="215"/>
    </row>
    <row r="1256" spans="2:8" x14ac:dyDescent="0.2">
      <c r="B1256" s="113"/>
      <c r="C1256" s="248"/>
      <c r="D1256" s="114"/>
      <c r="E1256" s="177"/>
      <c r="F1256" s="187"/>
      <c r="G1256" s="215"/>
      <c r="H1256" s="215"/>
    </row>
    <row r="1257" spans="2:8" x14ac:dyDescent="0.2">
      <c r="B1257" s="113"/>
      <c r="C1257" s="248"/>
      <c r="D1257" s="114"/>
      <c r="E1257" s="177"/>
      <c r="F1257" s="187"/>
      <c r="G1257" s="215"/>
      <c r="H1257" s="215"/>
    </row>
    <row r="1258" spans="2:8" x14ac:dyDescent="0.2">
      <c r="B1258" s="113"/>
      <c r="C1258" s="248"/>
      <c r="D1258" s="114"/>
      <c r="E1258" s="177"/>
      <c r="F1258" s="187"/>
      <c r="G1258" s="215"/>
      <c r="H1258" s="215"/>
    </row>
    <row r="1259" spans="2:8" x14ac:dyDescent="0.2">
      <c r="B1259" s="113"/>
      <c r="C1259" s="248"/>
      <c r="D1259" s="114"/>
      <c r="E1259" s="177"/>
      <c r="F1259" s="187"/>
      <c r="G1259" s="215"/>
      <c r="H1259" s="215"/>
    </row>
    <row r="1260" spans="2:8" x14ac:dyDescent="0.2">
      <c r="B1260" s="113"/>
      <c r="C1260" s="248"/>
      <c r="D1260" s="114"/>
      <c r="E1260" s="177"/>
      <c r="F1260" s="187"/>
      <c r="G1260" s="215"/>
      <c r="H1260" s="215"/>
    </row>
    <row r="1261" spans="2:8" x14ac:dyDescent="0.2">
      <c r="B1261" s="113"/>
      <c r="C1261" s="248"/>
      <c r="D1261" s="114"/>
      <c r="E1261" s="177"/>
      <c r="F1261" s="187"/>
      <c r="G1261" s="215"/>
      <c r="H1261" s="215"/>
    </row>
    <row r="1262" spans="2:8" x14ac:dyDescent="0.2">
      <c r="B1262" s="113"/>
      <c r="C1262" s="248"/>
      <c r="D1262" s="114"/>
      <c r="E1262" s="177"/>
      <c r="F1262" s="187"/>
      <c r="G1262" s="215"/>
      <c r="H1262" s="215"/>
    </row>
    <row r="1263" spans="2:8" x14ac:dyDescent="0.2">
      <c r="B1263" s="113"/>
      <c r="C1263" s="248"/>
      <c r="D1263" s="114"/>
      <c r="E1263" s="177"/>
      <c r="F1263" s="187"/>
      <c r="G1263" s="215"/>
      <c r="H1263" s="215"/>
    </row>
    <row r="1264" spans="2:8" x14ac:dyDescent="0.2">
      <c r="B1264" s="113"/>
      <c r="C1264" s="248"/>
      <c r="D1264" s="114"/>
      <c r="E1264" s="177"/>
      <c r="F1264" s="187"/>
      <c r="G1264" s="215"/>
      <c r="H1264" s="215"/>
    </row>
    <row r="1265" spans="2:8" x14ac:dyDescent="0.2">
      <c r="B1265" s="113"/>
      <c r="C1265" s="248"/>
      <c r="D1265" s="114"/>
      <c r="E1265" s="177"/>
      <c r="F1265" s="187"/>
      <c r="G1265" s="215"/>
      <c r="H1265" s="215"/>
    </row>
    <row r="1266" spans="2:8" x14ac:dyDescent="0.2">
      <c r="B1266" s="113"/>
      <c r="C1266" s="248"/>
      <c r="D1266" s="114"/>
      <c r="E1266" s="177"/>
      <c r="F1266" s="187"/>
      <c r="G1266" s="215"/>
      <c r="H1266" s="215"/>
    </row>
    <row r="1267" spans="2:8" x14ac:dyDescent="0.2">
      <c r="B1267" s="113"/>
      <c r="C1267" s="248"/>
      <c r="D1267" s="114"/>
      <c r="E1267" s="177"/>
      <c r="F1267" s="187"/>
      <c r="G1267" s="215"/>
      <c r="H1267" s="215"/>
    </row>
    <row r="1268" spans="2:8" x14ac:dyDescent="0.2">
      <c r="B1268" s="113"/>
      <c r="C1268" s="248"/>
      <c r="D1268" s="114"/>
      <c r="E1268" s="177"/>
      <c r="F1268" s="187"/>
      <c r="G1268" s="215"/>
      <c r="H1268" s="215"/>
    </row>
    <row r="1269" spans="2:8" x14ac:dyDescent="0.2">
      <c r="B1269" s="113"/>
      <c r="C1269" s="248"/>
      <c r="D1269" s="114"/>
      <c r="E1269" s="177"/>
      <c r="F1269" s="187"/>
      <c r="G1269" s="215"/>
      <c r="H1269" s="215"/>
    </row>
    <row r="1270" spans="2:8" x14ac:dyDescent="0.2">
      <c r="B1270" s="113"/>
      <c r="C1270" s="248"/>
      <c r="D1270" s="114"/>
      <c r="E1270" s="177"/>
      <c r="F1270" s="187"/>
      <c r="G1270" s="215"/>
      <c r="H1270" s="215"/>
    </row>
    <row r="1271" spans="2:8" x14ac:dyDescent="0.2">
      <c r="B1271" s="113"/>
      <c r="C1271" s="248"/>
      <c r="D1271" s="114"/>
      <c r="E1271" s="177"/>
      <c r="F1271" s="187"/>
      <c r="G1271" s="215"/>
      <c r="H1271" s="215"/>
    </row>
    <row r="1272" spans="2:8" x14ac:dyDescent="0.2">
      <c r="B1272" s="113"/>
      <c r="C1272" s="248"/>
      <c r="D1272" s="114"/>
      <c r="E1272" s="177"/>
      <c r="F1272" s="187"/>
      <c r="G1272" s="215"/>
      <c r="H1272" s="215"/>
    </row>
    <row r="1273" spans="2:8" x14ac:dyDescent="0.2">
      <c r="B1273" s="113"/>
      <c r="C1273" s="248"/>
      <c r="D1273" s="114"/>
      <c r="E1273" s="177"/>
      <c r="F1273" s="187"/>
      <c r="G1273" s="215"/>
      <c r="H1273" s="215"/>
    </row>
    <row r="1274" spans="2:8" x14ac:dyDescent="0.2">
      <c r="B1274" s="113"/>
      <c r="C1274" s="248"/>
      <c r="D1274" s="114"/>
      <c r="E1274" s="177"/>
      <c r="F1274" s="187"/>
      <c r="G1274" s="215"/>
      <c r="H1274" s="215"/>
    </row>
    <row r="1275" spans="2:8" x14ac:dyDescent="0.2">
      <c r="B1275" s="113"/>
      <c r="C1275" s="248"/>
      <c r="D1275" s="114"/>
      <c r="E1275" s="177"/>
      <c r="F1275" s="187"/>
      <c r="G1275" s="215"/>
      <c r="H1275" s="215"/>
    </row>
    <row r="1276" spans="2:8" x14ac:dyDescent="0.2">
      <c r="B1276" s="113"/>
      <c r="C1276" s="248"/>
      <c r="D1276" s="114"/>
      <c r="E1276" s="177"/>
      <c r="F1276" s="187"/>
      <c r="G1276" s="215"/>
      <c r="H1276" s="215"/>
    </row>
    <row r="1277" spans="2:8" x14ac:dyDescent="0.2">
      <c r="B1277" s="113"/>
      <c r="C1277" s="248"/>
      <c r="D1277" s="114"/>
      <c r="E1277" s="177"/>
      <c r="F1277" s="187"/>
      <c r="G1277" s="215"/>
      <c r="H1277" s="215"/>
    </row>
    <row r="1278" spans="2:8" x14ac:dyDescent="0.2">
      <c r="B1278" s="113"/>
      <c r="C1278" s="248"/>
      <c r="D1278" s="114"/>
      <c r="E1278" s="177"/>
      <c r="F1278" s="187"/>
      <c r="G1278" s="215"/>
      <c r="H1278" s="215"/>
    </row>
    <row r="1279" spans="2:8" x14ac:dyDescent="0.2">
      <c r="B1279" s="113"/>
      <c r="C1279" s="248"/>
      <c r="D1279" s="114"/>
      <c r="E1279" s="177"/>
      <c r="F1279" s="187"/>
      <c r="G1279" s="215"/>
      <c r="H1279" s="215"/>
    </row>
    <row r="1280" spans="2:8" x14ac:dyDescent="0.2">
      <c r="B1280" s="113"/>
      <c r="C1280" s="248"/>
      <c r="D1280" s="114"/>
      <c r="E1280" s="177"/>
      <c r="F1280" s="187"/>
      <c r="G1280" s="215"/>
      <c r="H1280" s="215"/>
    </row>
    <row r="1281" spans="2:8" x14ac:dyDescent="0.2">
      <c r="B1281" s="113"/>
      <c r="C1281" s="248"/>
      <c r="D1281" s="114"/>
      <c r="E1281" s="177"/>
      <c r="F1281" s="187"/>
      <c r="G1281" s="215"/>
      <c r="H1281" s="215"/>
    </row>
    <row r="1282" spans="2:8" x14ac:dyDescent="0.2">
      <c r="B1282" s="113"/>
      <c r="C1282" s="248"/>
      <c r="D1282" s="114"/>
      <c r="E1282" s="177"/>
      <c r="F1282" s="187"/>
      <c r="G1282" s="215"/>
      <c r="H1282" s="215"/>
    </row>
    <row r="1283" spans="2:8" x14ac:dyDescent="0.2">
      <c r="B1283" s="113"/>
      <c r="C1283" s="248"/>
      <c r="D1283" s="114"/>
      <c r="E1283" s="177"/>
      <c r="F1283" s="187"/>
      <c r="G1283" s="215"/>
      <c r="H1283" s="215"/>
    </row>
    <row r="1284" spans="2:8" x14ac:dyDescent="0.2">
      <c r="B1284" s="113"/>
      <c r="C1284" s="248"/>
      <c r="D1284" s="114"/>
      <c r="E1284" s="177"/>
      <c r="F1284" s="187"/>
      <c r="G1284" s="215"/>
      <c r="H1284" s="215"/>
    </row>
    <row r="1285" spans="2:8" x14ac:dyDescent="0.2">
      <c r="B1285" s="113"/>
      <c r="C1285" s="248"/>
      <c r="D1285" s="114"/>
      <c r="E1285" s="177"/>
      <c r="F1285" s="187"/>
      <c r="G1285" s="215"/>
      <c r="H1285" s="215"/>
    </row>
    <row r="1286" spans="2:8" x14ac:dyDescent="0.2">
      <c r="B1286" s="113"/>
      <c r="C1286" s="248"/>
      <c r="D1286" s="114"/>
      <c r="E1286" s="177"/>
      <c r="F1286" s="187"/>
      <c r="G1286" s="215"/>
      <c r="H1286" s="215"/>
    </row>
    <row r="1287" spans="2:8" x14ac:dyDescent="0.2">
      <c r="B1287" s="113"/>
      <c r="C1287" s="248"/>
      <c r="D1287" s="114"/>
      <c r="E1287" s="177"/>
      <c r="F1287" s="187"/>
      <c r="G1287" s="215"/>
      <c r="H1287" s="215"/>
    </row>
    <row r="1288" spans="2:8" x14ac:dyDescent="0.2">
      <c r="B1288" s="113"/>
      <c r="C1288" s="248"/>
      <c r="D1288" s="114"/>
      <c r="E1288" s="177"/>
      <c r="F1288" s="187"/>
      <c r="G1288" s="215"/>
      <c r="H1288" s="215"/>
    </row>
    <row r="1289" spans="2:8" x14ac:dyDescent="0.2">
      <c r="B1289" s="113"/>
      <c r="C1289" s="248"/>
      <c r="D1289" s="114"/>
      <c r="E1289" s="177"/>
      <c r="F1289" s="187"/>
      <c r="G1289" s="215"/>
      <c r="H1289" s="215"/>
    </row>
    <row r="1290" spans="2:8" x14ac:dyDescent="0.2">
      <c r="B1290" s="113"/>
      <c r="C1290" s="248"/>
      <c r="D1290" s="114"/>
      <c r="E1290" s="177"/>
      <c r="F1290" s="187"/>
      <c r="G1290" s="215"/>
      <c r="H1290" s="215"/>
    </row>
    <row r="1291" spans="2:8" x14ac:dyDescent="0.2">
      <c r="B1291" s="113"/>
      <c r="C1291" s="248"/>
      <c r="D1291" s="114"/>
      <c r="E1291" s="177"/>
      <c r="F1291" s="187"/>
      <c r="G1291" s="215"/>
      <c r="H1291" s="215"/>
    </row>
    <row r="1292" spans="2:8" x14ac:dyDescent="0.2">
      <c r="B1292" s="113"/>
      <c r="C1292" s="248"/>
      <c r="D1292" s="114"/>
      <c r="E1292" s="177"/>
      <c r="F1292" s="187"/>
      <c r="G1292" s="215"/>
      <c r="H1292" s="215"/>
    </row>
    <row r="1293" spans="2:8" x14ac:dyDescent="0.2">
      <c r="B1293" s="113"/>
      <c r="C1293" s="248"/>
      <c r="D1293" s="114"/>
      <c r="E1293" s="177"/>
      <c r="F1293" s="187"/>
      <c r="G1293" s="215"/>
      <c r="H1293" s="215"/>
    </row>
    <row r="1294" spans="2:8" x14ac:dyDescent="0.2">
      <c r="B1294" s="113"/>
      <c r="C1294" s="248"/>
      <c r="D1294" s="114"/>
      <c r="E1294" s="177"/>
      <c r="F1294" s="187"/>
      <c r="G1294" s="215"/>
      <c r="H1294" s="215"/>
    </row>
    <row r="1295" spans="2:8" x14ac:dyDescent="0.2">
      <c r="B1295" s="113"/>
      <c r="C1295" s="248"/>
      <c r="D1295" s="114"/>
      <c r="E1295" s="177"/>
      <c r="F1295" s="187"/>
      <c r="G1295" s="215"/>
      <c r="H1295" s="215"/>
    </row>
    <row r="1296" spans="2:8" x14ac:dyDescent="0.2">
      <c r="B1296" s="113"/>
      <c r="C1296" s="248"/>
      <c r="D1296" s="114"/>
      <c r="E1296" s="177"/>
      <c r="F1296" s="187"/>
      <c r="G1296" s="215"/>
      <c r="H1296" s="215"/>
    </row>
    <row r="1297" spans="2:8" x14ac:dyDescent="0.2">
      <c r="B1297" s="113"/>
      <c r="C1297" s="248"/>
      <c r="D1297" s="114"/>
      <c r="E1297" s="177"/>
      <c r="F1297" s="187"/>
      <c r="G1297" s="215"/>
      <c r="H1297" s="215"/>
    </row>
    <row r="1298" spans="2:8" x14ac:dyDescent="0.2">
      <c r="B1298" s="113"/>
      <c r="C1298" s="248"/>
      <c r="D1298" s="114"/>
      <c r="E1298" s="177"/>
      <c r="F1298" s="187"/>
      <c r="G1298" s="215"/>
      <c r="H1298" s="215"/>
    </row>
    <row r="1299" spans="2:8" x14ac:dyDescent="0.2">
      <c r="B1299" s="113"/>
      <c r="C1299" s="248"/>
      <c r="D1299" s="114"/>
      <c r="E1299" s="177"/>
      <c r="F1299" s="187"/>
      <c r="G1299" s="215"/>
      <c r="H1299" s="215"/>
    </row>
    <row r="1300" spans="2:8" x14ac:dyDescent="0.2">
      <c r="B1300" s="113"/>
      <c r="C1300" s="248"/>
      <c r="D1300" s="114"/>
      <c r="E1300" s="177"/>
      <c r="F1300" s="187"/>
      <c r="G1300" s="215"/>
      <c r="H1300" s="215"/>
    </row>
    <row r="1301" spans="2:8" x14ac:dyDescent="0.2">
      <c r="B1301" s="113"/>
      <c r="C1301" s="248"/>
      <c r="D1301" s="114"/>
      <c r="E1301" s="177"/>
      <c r="F1301" s="187"/>
      <c r="G1301" s="215"/>
      <c r="H1301" s="215"/>
    </row>
    <row r="1302" spans="2:8" x14ac:dyDescent="0.2">
      <c r="B1302" s="113"/>
      <c r="C1302" s="248"/>
      <c r="D1302" s="114"/>
      <c r="E1302" s="177"/>
      <c r="F1302" s="187"/>
      <c r="G1302" s="215"/>
      <c r="H1302" s="215"/>
    </row>
    <row r="1303" spans="2:8" x14ac:dyDescent="0.2">
      <c r="B1303" s="113"/>
      <c r="C1303" s="248"/>
      <c r="D1303" s="114"/>
      <c r="E1303" s="177"/>
      <c r="F1303" s="187"/>
      <c r="G1303" s="215"/>
      <c r="H1303" s="215"/>
    </row>
    <row r="1304" spans="2:8" x14ac:dyDescent="0.2">
      <c r="B1304" s="113"/>
      <c r="C1304" s="248"/>
      <c r="D1304" s="114"/>
      <c r="E1304" s="177"/>
      <c r="F1304" s="187"/>
      <c r="G1304" s="215"/>
      <c r="H1304" s="215"/>
    </row>
    <row r="1305" spans="2:8" x14ac:dyDescent="0.2">
      <c r="B1305" s="113"/>
      <c r="C1305" s="248"/>
      <c r="D1305" s="114"/>
      <c r="E1305" s="177"/>
      <c r="F1305" s="187"/>
      <c r="G1305" s="215"/>
      <c r="H1305" s="215"/>
    </row>
    <row r="1306" spans="2:8" x14ac:dyDescent="0.2">
      <c r="B1306" s="113"/>
      <c r="C1306" s="248"/>
      <c r="D1306" s="114"/>
      <c r="E1306" s="177"/>
      <c r="F1306" s="187"/>
      <c r="G1306" s="215"/>
      <c r="H1306" s="215"/>
    </row>
    <row r="1307" spans="2:8" x14ac:dyDescent="0.2">
      <c r="B1307" s="113"/>
      <c r="C1307" s="248"/>
      <c r="D1307" s="114"/>
      <c r="E1307" s="177"/>
      <c r="F1307" s="187"/>
      <c r="G1307" s="215"/>
      <c r="H1307" s="215"/>
    </row>
    <row r="1308" spans="2:8" x14ac:dyDescent="0.2">
      <c r="B1308" s="113"/>
      <c r="C1308" s="248"/>
      <c r="D1308" s="114"/>
      <c r="E1308" s="177"/>
      <c r="F1308" s="187"/>
      <c r="G1308" s="215"/>
      <c r="H1308" s="215"/>
    </row>
    <row r="1309" spans="2:8" x14ac:dyDescent="0.2">
      <c r="B1309" s="113"/>
      <c r="C1309" s="248"/>
      <c r="D1309" s="114"/>
      <c r="E1309" s="177"/>
      <c r="F1309" s="187"/>
      <c r="G1309" s="215"/>
      <c r="H1309" s="215"/>
    </row>
    <row r="1310" spans="2:8" x14ac:dyDescent="0.2">
      <c r="B1310" s="113"/>
      <c r="C1310" s="248"/>
      <c r="D1310" s="114"/>
      <c r="E1310" s="177"/>
      <c r="F1310" s="187"/>
      <c r="G1310" s="215"/>
      <c r="H1310" s="215"/>
    </row>
    <row r="1311" spans="2:8" x14ac:dyDescent="0.2">
      <c r="B1311" s="113"/>
      <c r="C1311" s="248"/>
      <c r="D1311" s="114"/>
      <c r="E1311" s="177"/>
      <c r="F1311" s="187"/>
      <c r="G1311" s="215"/>
      <c r="H1311" s="215"/>
    </row>
    <row r="1312" spans="2:8" x14ac:dyDescent="0.2">
      <c r="B1312" s="113"/>
      <c r="C1312" s="248"/>
      <c r="D1312" s="114"/>
      <c r="E1312" s="177"/>
      <c r="F1312" s="187"/>
      <c r="G1312" s="215"/>
      <c r="H1312" s="215"/>
    </row>
    <row r="1313" spans="2:8" x14ac:dyDescent="0.2">
      <c r="B1313" s="113"/>
      <c r="C1313" s="248"/>
      <c r="D1313" s="114"/>
      <c r="E1313" s="177"/>
      <c r="F1313" s="187"/>
      <c r="G1313" s="215"/>
      <c r="H1313" s="215"/>
    </row>
    <row r="1314" spans="2:8" x14ac:dyDescent="0.2">
      <c r="B1314" s="113"/>
      <c r="C1314" s="248"/>
      <c r="D1314" s="114"/>
      <c r="E1314" s="177"/>
      <c r="F1314" s="187"/>
      <c r="G1314" s="215"/>
      <c r="H1314" s="215"/>
    </row>
    <row r="1315" spans="2:8" x14ac:dyDescent="0.2">
      <c r="B1315" s="113"/>
      <c r="C1315" s="248"/>
      <c r="D1315" s="114"/>
      <c r="E1315" s="177"/>
      <c r="F1315" s="187"/>
      <c r="G1315" s="215"/>
      <c r="H1315" s="215"/>
    </row>
    <row r="1316" spans="2:8" x14ac:dyDescent="0.2">
      <c r="B1316" s="113"/>
      <c r="C1316" s="248"/>
      <c r="D1316" s="114"/>
      <c r="E1316" s="177"/>
      <c r="F1316" s="187"/>
      <c r="G1316" s="215"/>
      <c r="H1316" s="215"/>
    </row>
    <row r="1317" spans="2:8" x14ac:dyDescent="0.2">
      <c r="B1317" s="113"/>
      <c r="C1317" s="248"/>
      <c r="D1317" s="114"/>
      <c r="E1317" s="177"/>
      <c r="F1317" s="187"/>
      <c r="G1317" s="215"/>
      <c r="H1317" s="215"/>
    </row>
    <row r="1318" spans="2:8" x14ac:dyDescent="0.2">
      <c r="B1318" s="113"/>
      <c r="C1318" s="248"/>
      <c r="D1318" s="114"/>
      <c r="E1318" s="177"/>
      <c r="F1318" s="187"/>
      <c r="G1318" s="215"/>
      <c r="H1318" s="215"/>
    </row>
    <row r="1319" spans="2:8" x14ac:dyDescent="0.2">
      <c r="B1319" s="113"/>
      <c r="C1319" s="248"/>
      <c r="D1319" s="114"/>
      <c r="E1319" s="177"/>
      <c r="F1319" s="187"/>
      <c r="G1319" s="215"/>
      <c r="H1319" s="215"/>
    </row>
    <row r="1320" spans="2:8" x14ac:dyDescent="0.2">
      <c r="B1320" s="113"/>
      <c r="C1320" s="248"/>
      <c r="D1320" s="114"/>
      <c r="E1320" s="177"/>
      <c r="F1320" s="187"/>
      <c r="G1320" s="215"/>
      <c r="H1320" s="215"/>
    </row>
    <row r="1321" spans="2:8" x14ac:dyDescent="0.2">
      <c r="B1321" s="113"/>
      <c r="C1321" s="248"/>
      <c r="D1321" s="114"/>
      <c r="E1321" s="177"/>
      <c r="F1321" s="187"/>
      <c r="G1321" s="215"/>
      <c r="H1321" s="215"/>
    </row>
    <row r="1322" spans="2:8" x14ac:dyDescent="0.2">
      <c r="B1322" s="113"/>
      <c r="C1322" s="248"/>
      <c r="D1322" s="114"/>
      <c r="E1322" s="177"/>
      <c r="F1322" s="187"/>
      <c r="G1322" s="215"/>
      <c r="H1322" s="215"/>
    </row>
    <row r="1323" spans="2:8" x14ac:dyDescent="0.2">
      <c r="B1323" s="113"/>
      <c r="C1323" s="248"/>
      <c r="D1323" s="114"/>
      <c r="E1323" s="177"/>
      <c r="F1323" s="187"/>
      <c r="G1323" s="215"/>
      <c r="H1323" s="215"/>
    </row>
    <row r="1324" spans="2:8" x14ac:dyDescent="0.2">
      <c r="B1324" s="113"/>
      <c r="C1324" s="248"/>
      <c r="D1324" s="114"/>
      <c r="E1324" s="177"/>
      <c r="F1324" s="187"/>
      <c r="G1324" s="215"/>
      <c r="H1324" s="215"/>
    </row>
    <row r="1325" spans="2:8" x14ac:dyDescent="0.2">
      <c r="B1325" s="113"/>
      <c r="C1325" s="248"/>
      <c r="D1325" s="114"/>
      <c r="E1325" s="177"/>
      <c r="F1325" s="187"/>
      <c r="G1325" s="215"/>
      <c r="H1325" s="215"/>
    </row>
    <row r="1326" spans="2:8" x14ac:dyDescent="0.2">
      <c r="B1326" s="113"/>
      <c r="C1326" s="248"/>
      <c r="D1326" s="114"/>
      <c r="E1326" s="177"/>
      <c r="F1326" s="187"/>
      <c r="G1326" s="215"/>
      <c r="H1326" s="215"/>
    </row>
    <row r="1327" spans="2:8" x14ac:dyDescent="0.2">
      <c r="B1327" s="113"/>
      <c r="C1327" s="248"/>
      <c r="D1327" s="114"/>
      <c r="E1327" s="177"/>
      <c r="F1327" s="187"/>
      <c r="G1327" s="215"/>
      <c r="H1327" s="215"/>
    </row>
    <row r="1328" spans="2:8" x14ac:dyDescent="0.2">
      <c r="B1328" s="113"/>
      <c r="C1328" s="248"/>
      <c r="D1328" s="114"/>
      <c r="E1328" s="177"/>
      <c r="F1328" s="187"/>
      <c r="G1328" s="215"/>
      <c r="H1328" s="215"/>
    </row>
    <row r="1329" spans="2:8" x14ac:dyDescent="0.2">
      <c r="B1329" s="113"/>
      <c r="C1329" s="248"/>
      <c r="D1329" s="114"/>
      <c r="E1329" s="177"/>
      <c r="F1329" s="187"/>
      <c r="G1329" s="215"/>
      <c r="H1329" s="215"/>
    </row>
    <row r="1330" spans="2:8" x14ac:dyDescent="0.2">
      <c r="B1330" s="113"/>
      <c r="C1330" s="248"/>
      <c r="D1330" s="114"/>
      <c r="E1330" s="177"/>
      <c r="F1330" s="187"/>
      <c r="G1330" s="215"/>
      <c r="H1330" s="215"/>
    </row>
    <row r="1331" spans="2:8" x14ac:dyDescent="0.2">
      <c r="B1331" s="113"/>
      <c r="C1331" s="248"/>
      <c r="D1331" s="114"/>
      <c r="E1331" s="177"/>
      <c r="F1331" s="187"/>
      <c r="G1331" s="215"/>
      <c r="H1331" s="215"/>
    </row>
    <row r="1332" spans="2:8" x14ac:dyDescent="0.2">
      <c r="B1332" s="113"/>
      <c r="C1332" s="248"/>
      <c r="D1332" s="114"/>
      <c r="E1332" s="177"/>
      <c r="F1332" s="187"/>
      <c r="G1332" s="215"/>
      <c r="H1332" s="215"/>
    </row>
    <row r="1333" spans="2:8" x14ac:dyDescent="0.2">
      <c r="B1333" s="113"/>
      <c r="C1333" s="248"/>
      <c r="D1333" s="114"/>
      <c r="E1333" s="177"/>
      <c r="F1333" s="187"/>
      <c r="G1333" s="215"/>
      <c r="H1333" s="215"/>
    </row>
    <row r="1334" spans="2:8" x14ac:dyDescent="0.2">
      <c r="B1334" s="113"/>
      <c r="C1334" s="248"/>
      <c r="D1334" s="114"/>
      <c r="E1334" s="177"/>
      <c r="F1334" s="187"/>
      <c r="G1334" s="215"/>
      <c r="H1334" s="215"/>
    </row>
    <row r="1335" spans="2:8" x14ac:dyDescent="0.2">
      <c r="B1335" s="113"/>
      <c r="C1335" s="248"/>
      <c r="D1335" s="114"/>
      <c r="E1335" s="177"/>
      <c r="F1335" s="187"/>
      <c r="G1335" s="215"/>
      <c r="H1335" s="215"/>
    </row>
    <row r="1336" spans="2:8" x14ac:dyDescent="0.2">
      <c r="B1336" s="113"/>
      <c r="C1336" s="248"/>
      <c r="D1336" s="114"/>
      <c r="E1336" s="177"/>
      <c r="F1336" s="187"/>
      <c r="G1336" s="215"/>
      <c r="H1336" s="215"/>
    </row>
    <row r="1337" spans="2:8" x14ac:dyDescent="0.2">
      <c r="B1337" s="113"/>
      <c r="C1337" s="248"/>
      <c r="D1337" s="114"/>
      <c r="E1337" s="177"/>
      <c r="F1337" s="187"/>
      <c r="G1337" s="215"/>
      <c r="H1337" s="215"/>
    </row>
    <row r="1338" spans="2:8" x14ac:dyDescent="0.2">
      <c r="B1338" s="113"/>
      <c r="C1338" s="248"/>
      <c r="D1338" s="114"/>
      <c r="E1338" s="177"/>
      <c r="F1338" s="187"/>
      <c r="G1338" s="215"/>
      <c r="H1338" s="215"/>
    </row>
    <row r="1339" spans="2:8" x14ac:dyDescent="0.2">
      <c r="B1339" s="113"/>
      <c r="C1339" s="248"/>
      <c r="D1339" s="114"/>
      <c r="E1339" s="177"/>
      <c r="F1339" s="187"/>
      <c r="G1339" s="215"/>
      <c r="H1339" s="215"/>
    </row>
    <row r="1340" spans="2:8" x14ac:dyDescent="0.2">
      <c r="B1340" s="113"/>
      <c r="C1340" s="248"/>
      <c r="D1340" s="114"/>
      <c r="E1340" s="177"/>
      <c r="F1340" s="187"/>
      <c r="G1340" s="215"/>
      <c r="H1340" s="215"/>
    </row>
    <row r="1341" spans="2:8" x14ac:dyDescent="0.2">
      <c r="B1341" s="113"/>
      <c r="C1341" s="248"/>
      <c r="D1341" s="114"/>
      <c r="E1341" s="177"/>
      <c r="F1341" s="187"/>
      <c r="G1341" s="215"/>
      <c r="H1341" s="215"/>
    </row>
    <row r="1342" spans="2:8" x14ac:dyDescent="0.2">
      <c r="B1342" s="113"/>
      <c r="C1342" s="248"/>
      <c r="D1342" s="114"/>
      <c r="E1342" s="177"/>
      <c r="F1342" s="187"/>
      <c r="G1342" s="215"/>
      <c r="H1342" s="215"/>
    </row>
    <row r="1343" spans="2:8" x14ac:dyDescent="0.2">
      <c r="B1343" s="113"/>
      <c r="C1343" s="248"/>
      <c r="D1343" s="114"/>
      <c r="E1343" s="177"/>
      <c r="F1343" s="187"/>
      <c r="G1343" s="215"/>
      <c r="H1343" s="215"/>
    </row>
    <row r="1344" spans="2:8" x14ac:dyDescent="0.2">
      <c r="B1344" s="113"/>
      <c r="C1344" s="248"/>
      <c r="D1344" s="114"/>
      <c r="E1344" s="177"/>
      <c r="F1344" s="187"/>
      <c r="G1344" s="215"/>
      <c r="H1344" s="215"/>
    </row>
    <row r="1345" spans="2:8" x14ac:dyDescent="0.2">
      <c r="B1345" s="113"/>
      <c r="C1345" s="248"/>
      <c r="D1345" s="114"/>
      <c r="E1345" s="177"/>
      <c r="F1345" s="187"/>
      <c r="G1345" s="215"/>
      <c r="H1345" s="215"/>
    </row>
    <row r="1346" spans="2:8" x14ac:dyDescent="0.2">
      <c r="B1346" s="113"/>
      <c r="C1346" s="248"/>
      <c r="D1346" s="114"/>
      <c r="E1346" s="177"/>
      <c r="F1346" s="187"/>
      <c r="G1346" s="215"/>
      <c r="H1346" s="215"/>
    </row>
    <row r="1347" spans="2:8" x14ac:dyDescent="0.2">
      <c r="B1347" s="113"/>
      <c r="C1347" s="248"/>
      <c r="D1347" s="114"/>
      <c r="E1347" s="177"/>
      <c r="F1347" s="187"/>
      <c r="G1347" s="215"/>
      <c r="H1347" s="215"/>
    </row>
    <row r="1348" spans="2:8" x14ac:dyDescent="0.2">
      <c r="B1348" s="113"/>
      <c r="C1348" s="248"/>
      <c r="D1348" s="114"/>
      <c r="E1348" s="177"/>
      <c r="F1348" s="187"/>
      <c r="G1348" s="215"/>
      <c r="H1348" s="215"/>
    </row>
    <row r="1349" spans="2:8" x14ac:dyDescent="0.2">
      <c r="B1349" s="113"/>
      <c r="C1349" s="248"/>
      <c r="D1349" s="114"/>
      <c r="E1349" s="177"/>
      <c r="F1349" s="187"/>
      <c r="G1349" s="215"/>
      <c r="H1349" s="215"/>
    </row>
    <row r="1350" spans="2:8" x14ac:dyDescent="0.2">
      <c r="B1350" s="113"/>
      <c r="C1350" s="248"/>
      <c r="D1350" s="114"/>
      <c r="E1350" s="177"/>
      <c r="F1350" s="187"/>
      <c r="G1350" s="215"/>
      <c r="H1350" s="215"/>
    </row>
    <row r="1351" spans="2:8" x14ac:dyDescent="0.2">
      <c r="B1351" s="113"/>
      <c r="C1351" s="248"/>
      <c r="D1351" s="114"/>
      <c r="E1351" s="177"/>
      <c r="F1351" s="187"/>
      <c r="G1351" s="215"/>
      <c r="H1351" s="215"/>
    </row>
    <row r="1352" spans="2:8" x14ac:dyDescent="0.2">
      <c r="B1352" s="113"/>
      <c r="C1352" s="248"/>
      <c r="D1352" s="114"/>
      <c r="E1352" s="177"/>
      <c r="F1352" s="187"/>
      <c r="G1352" s="215"/>
      <c r="H1352" s="215"/>
    </row>
    <row r="1353" spans="2:8" x14ac:dyDescent="0.2">
      <c r="B1353" s="113"/>
      <c r="C1353" s="248"/>
      <c r="D1353" s="114"/>
      <c r="E1353" s="177"/>
      <c r="F1353" s="187"/>
      <c r="G1353" s="215"/>
      <c r="H1353" s="215"/>
    </row>
    <row r="1354" spans="2:8" x14ac:dyDescent="0.2">
      <c r="B1354" s="113"/>
      <c r="C1354" s="248"/>
      <c r="D1354" s="114"/>
      <c r="E1354" s="177"/>
      <c r="F1354" s="187"/>
      <c r="G1354" s="215"/>
      <c r="H1354" s="215"/>
    </row>
    <row r="1355" spans="2:8" x14ac:dyDescent="0.2">
      <c r="B1355" s="113"/>
      <c r="C1355" s="248"/>
      <c r="D1355" s="114"/>
      <c r="E1355" s="177"/>
      <c r="F1355" s="187"/>
      <c r="G1355" s="215"/>
      <c r="H1355" s="215"/>
    </row>
    <row r="1356" spans="2:8" x14ac:dyDescent="0.2">
      <c r="B1356" s="113"/>
      <c r="C1356" s="248"/>
      <c r="D1356" s="114"/>
      <c r="E1356" s="177"/>
      <c r="F1356" s="187"/>
      <c r="G1356" s="215"/>
      <c r="H1356" s="215"/>
    </row>
    <row r="1357" spans="2:8" x14ac:dyDescent="0.2">
      <c r="B1357" s="113"/>
      <c r="C1357" s="248"/>
      <c r="D1357" s="114"/>
      <c r="E1357" s="177"/>
      <c r="F1357" s="187"/>
      <c r="G1357" s="215"/>
      <c r="H1357" s="215"/>
    </row>
    <row r="1358" spans="2:8" x14ac:dyDescent="0.2">
      <c r="B1358" s="113"/>
      <c r="C1358" s="248"/>
      <c r="D1358" s="114"/>
      <c r="E1358" s="177"/>
      <c r="F1358" s="187"/>
      <c r="G1358" s="215"/>
      <c r="H1358" s="215"/>
    </row>
    <row r="1359" spans="2:8" x14ac:dyDescent="0.2">
      <c r="B1359" s="113"/>
      <c r="C1359" s="248"/>
      <c r="D1359" s="114"/>
      <c r="E1359" s="177"/>
      <c r="F1359" s="187"/>
      <c r="G1359" s="215"/>
      <c r="H1359" s="215"/>
    </row>
    <row r="1360" spans="2:8" x14ac:dyDescent="0.2">
      <c r="B1360" s="113"/>
      <c r="C1360" s="248"/>
      <c r="D1360" s="114"/>
      <c r="E1360" s="177"/>
      <c r="F1360" s="187"/>
      <c r="G1360" s="215"/>
      <c r="H1360" s="215"/>
    </row>
    <row r="1361" spans="2:8" x14ac:dyDescent="0.2">
      <c r="B1361" s="113"/>
      <c r="C1361" s="248"/>
      <c r="D1361" s="114"/>
      <c r="E1361" s="177"/>
      <c r="F1361" s="187"/>
      <c r="G1361" s="215"/>
      <c r="H1361" s="215"/>
    </row>
    <row r="1362" spans="2:8" x14ac:dyDescent="0.2">
      <c r="B1362" s="113"/>
      <c r="C1362" s="248"/>
      <c r="D1362" s="114"/>
      <c r="E1362" s="177"/>
      <c r="F1362" s="187"/>
      <c r="G1362" s="215"/>
      <c r="H1362" s="215"/>
    </row>
    <row r="1363" spans="2:8" x14ac:dyDescent="0.2">
      <c r="B1363" s="113"/>
      <c r="C1363" s="248"/>
      <c r="D1363" s="114"/>
      <c r="E1363" s="177"/>
      <c r="F1363" s="187"/>
      <c r="G1363" s="215"/>
      <c r="H1363" s="215"/>
    </row>
    <row r="1364" spans="2:8" x14ac:dyDescent="0.2">
      <c r="B1364" s="113"/>
      <c r="C1364" s="248"/>
      <c r="D1364" s="114"/>
      <c r="E1364" s="177"/>
      <c r="F1364" s="187"/>
      <c r="G1364" s="215"/>
      <c r="H1364" s="215"/>
    </row>
    <row r="1365" spans="2:8" x14ac:dyDescent="0.2">
      <c r="B1365" s="113"/>
      <c r="C1365" s="248"/>
      <c r="D1365" s="114"/>
      <c r="E1365" s="177"/>
      <c r="F1365" s="187"/>
      <c r="G1365" s="215"/>
      <c r="H1365" s="215"/>
    </row>
    <row r="1366" spans="2:8" x14ac:dyDescent="0.2">
      <c r="B1366" s="113"/>
      <c r="C1366" s="248"/>
      <c r="D1366" s="114"/>
      <c r="E1366" s="177"/>
      <c r="F1366" s="187"/>
      <c r="G1366" s="215"/>
      <c r="H1366" s="215"/>
    </row>
    <row r="1367" spans="2:8" x14ac:dyDescent="0.2">
      <c r="B1367" s="113"/>
      <c r="C1367" s="248"/>
      <c r="D1367" s="114"/>
      <c r="E1367" s="177"/>
      <c r="F1367" s="187"/>
      <c r="G1367" s="215"/>
      <c r="H1367" s="215"/>
    </row>
    <row r="1368" spans="2:8" x14ac:dyDescent="0.2">
      <c r="B1368" s="113"/>
      <c r="C1368" s="248"/>
      <c r="D1368" s="114"/>
      <c r="E1368" s="177"/>
      <c r="F1368" s="187"/>
      <c r="G1368" s="215"/>
      <c r="H1368" s="215"/>
    </row>
    <row r="1369" spans="2:8" x14ac:dyDescent="0.2">
      <c r="B1369" s="113"/>
      <c r="C1369" s="248"/>
      <c r="D1369" s="114"/>
      <c r="E1369" s="177"/>
      <c r="F1369" s="187"/>
      <c r="G1369" s="215"/>
      <c r="H1369" s="215"/>
    </row>
    <row r="1370" spans="2:8" x14ac:dyDescent="0.2">
      <c r="B1370" s="113"/>
      <c r="C1370" s="248"/>
      <c r="D1370" s="114"/>
      <c r="E1370" s="177"/>
      <c r="F1370" s="187"/>
      <c r="G1370" s="215"/>
      <c r="H1370" s="215"/>
    </row>
    <row r="1371" spans="2:8" x14ac:dyDescent="0.2">
      <c r="B1371" s="113"/>
      <c r="C1371" s="248"/>
      <c r="D1371" s="114"/>
      <c r="E1371" s="177"/>
      <c r="F1371" s="187"/>
      <c r="G1371" s="215"/>
      <c r="H1371" s="215"/>
    </row>
    <row r="1372" spans="2:8" x14ac:dyDescent="0.2">
      <c r="B1372" s="113"/>
      <c r="C1372" s="248"/>
      <c r="D1372" s="114"/>
      <c r="E1372" s="177"/>
      <c r="F1372" s="187"/>
      <c r="G1372" s="215"/>
      <c r="H1372" s="215"/>
    </row>
    <row r="1373" spans="2:8" x14ac:dyDescent="0.2">
      <c r="B1373" s="113"/>
      <c r="C1373" s="248"/>
      <c r="D1373" s="114"/>
      <c r="E1373" s="177"/>
      <c r="F1373" s="187"/>
      <c r="G1373" s="215"/>
      <c r="H1373" s="215"/>
    </row>
    <row r="1374" spans="2:8" x14ac:dyDescent="0.2">
      <c r="B1374" s="113"/>
      <c r="C1374" s="248"/>
      <c r="D1374" s="114"/>
      <c r="E1374" s="177"/>
      <c r="F1374" s="187"/>
      <c r="G1374" s="215"/>
      <c r="H1374" s="215"/>
    </row>
    <row r="1375" spans="2:8" x14ac:dyDescent="0.2">
      <c r="B1375" s="113"/>
      <c r="C1375" s="248"/>
      <c r="D1375" s="114"/>
      <c r="E1375" s="177"/>
      <c r="F1375" s="187"/>
      <c r="G1375" s="215"/>
      <c r="H1375" s="215"/>
    </row>
    <row r="1376" spans="2:8" x14ac:dyDescent="0.2">
      <c r="B1376" s="113"/>
      <c r="C1376" s="248"/>
      <c r="D1376" s="114"/>
      <c r="E1376" s="177"/>
      <c r="F1376" s="187"/>
      <c r="G1376" s="215"/>
      <c r="H1376" s="215"/>
    </row>
    <row r="1377" spans="2:8" x14ac:dyDescent="0.2">
      <c r="B1377" s="113"/>
      <c r="C1377" s="248"/>
      <c r="D1377" s="114"/>
      <c r="E1377" s="177"/>
      <c r="F1377" s="187"/>
      <c r="G1377" s="215"/>
      <c r="H1377" s="215"/>
    </row>
    <row r="1378" spans="2:8" x14ac:dyDescent="0.2">
      <c r="B1378" s="113"/>
      <c r="C1378" s="248"/>
      <c r="D1378" s="114"/>
      <c r="E1378" s="177"/>
      <c r="F1378" s="187"/>
      <c r="G1378" s="215"/>
      <c r="H1378" s="215"/>
    </row>
    <row r="1379" spans="2:8" x14ac:dyDescent="0.2">
      <c r="B1379" s="113"/>
      <c r="C1379" s="248"/>
      <c r="D1379" s="114"/>
      <c r="E1379" s="177"/>
      <c r="F1379" s="187"/>
      <c r="G1379" s="215"/>
      <c r="H1379" s="215"/>
    </row>
    <row r="1380" spans="2:8" x14ac:dyDescent="0.2">
      <c r="B1380" s="113"/>
      <c r="C1380" s="248"/>
      <c r="D1380" s="114"/>
      <c r="E1380" s="177"/>
      <c r="F1380" s="187"/>
      <c r="G1380" s="215"/>
      <c r="H1380" s="215"/>
    </row>
    <row r="1381" spans="2:8" x14ac:dyDescent="0.2">
      <c r="B1381" s="113"/>
      <c r="C1381" s="248"/>
      <c r="D1381" s="114"/>
      <c r="E1381" s="177"/>
      <c r="F1381" s="187"/>
      <c r="G1381" s="215"/>
      <c r="H1381" s="215"/>
    </row>
    <row r="1382" spans="2:8" x14ac:dyDescent="0.2">
      <c r="B1382" s="113"/>
      <c r="C1382" s="248"/>
      <c r="D1382" s="114"/>
      <c r="E1382" s="177"/>
      <c r="F1382" s="187"/>
      <c r="G1382" s="215"/>
      <c r="H1382" s="215"/>
    </row>
    <row r="1383" spans="2:8" x14ac:dyDescent="0.2">
      <c r="B1383" s="113"/>
      <c r="C1383" s="248"/>
      <c r="D1383" s="114"/>
      <c r="E1383" s="177"/>
      <c r="F1383" s="187"/>
      <c r="G1383" s="215"/>
      <c r="H1383" s="215"/>
    </row>
    <row r="1384" spans="2:8" x14ac:dyDescent="0.2">
      <c r="B1384" s="113"/>
      <c r="C1384" s="248"/>
      <c r="D1384" s="114"/>
      <c r="E1384" s="177"/>
      <c r="F1384" s="187"/>
      <c r="G1384" s="215"/>
      <c r="H1384" s="215"/>
    </row>
    <row r="1385" spans="2:8" x14ac:dyDescent="0.2">
      <c r="B1385" s="113"/>
      <c r="C1385" s="248"/>
      <c r="D1385" s="114"/>
      <c r="E1385" s="177"/>
      <c r="F1385" s="187"/>
      <c r="G1385" s="215"/>
      <c r="H1385" s="215"/>
    </row>
    <row r="1386" spans="2:8" x14ac:dyDescent="0.2">
      <c r="B1386" s="113"/>
      <c r="C1386" s="248"/>
      <c r="D1386" s="114"/>
      <c r="E1386" s="177"/>
      <c r="F1386" s="187"/>
      <c r="G1386" s="215"/>
      <c r="H1386" s="215"/>
    </row>
    <row r="1387" spans="2:8" x14ac:dyDescent="0.2">
      <c r="B1387" s="113"/>
      <c r="C1387" s="248"/>
      <c r="D1387" s="114"/>
      <c r="E1387" s="177"/>
      <c r="F1387" s="187"/>
      <c r="G1387" s="215"/>
      <c r="H1387" s="215"/>
    </row>
    <row r="1388" spans="2:8" x14ac:dyDescent="0.2">
      <c r="B1388" s="113"/>
      <c r="C1388" s="248"/>
      <c r="D1388" s="114"/>
      <c r="E1388" s="177"/>
      <c r="F1388" s="187"/>
      <c r="G1388" s="215"/>
      <c r="H1388" s="215"/>
    </row>
    <row r="1389" spans="2:8" x14ac:dyDescent="0.2">
      <c r="B1389" s="113"/>
      <c r="C1389" s="248"/>
      <c r="D1389" s="114"/>
      <c r="E1389" s="177"/>
      <c r="F1389" s="187"/>
      <c r="G1389" s="215"/>
      <c r="H1389" s="215"/>
    </row>
    <row r="1390" spans="2:8" x14ac:dyDescent="0.2">
      <c r="B1390" s="113"/>
      <c r="C1390" s="248"/>
      <c r="D1390" s="114"/>
      <c r="E1390" s="177"/>
      <c r="F1390" s="187"/>
      <c r="G1390" s="215"/>
      <c r="H1390" s="215"/>
    </row>
    <row r="1391" spans="2:8" x14ac:dyDescent="0.2">
      <c r="B1391" s="113"/>
      <c r="C1391" s="248"/>
      <c r="D1391" s="114"/>
      <c r="E1391" s="177"/>
      <c r="F1391" s="187"/>
      <c r="G1391" s="215"/>
      <c r="H1391" s="215"/>
    </row>
    <row r="1392" spans="2:8" x14ac:dyDescent="0.2">
      <c r="B1392" s="113"/>
      <c r="C1392" s="248"/>
      <c r="D1392" s="114"/>
      <c r="E1392" s="177"/>
      <c r="F1392" s="187"/>
      <c r="G1392" s="215"/>
      <c r="H1392" s="215"/>
    </row>
    <row r="1393" spans="2:8" x14ac:dyDescent="0.2">
      <c r="B1393" s="113"/>
      <c r="C1393" s="248"/>
      <c r="D1393" s="114"/>
      <c r="E1393" s="177"/>
      <c r="F1393" s="187"/>
      <c r="G1393" s="215"/>
      <c r="H1393" s="215"/>
    </row>
    <row r="1394" spans="2:8" x14ac:dyDescent="0.2">
      <c r="B1394" s="113"/>
      <c r="C1394" s="248"/>
      <c r="D1394" s="114"/>
      <c r="E1394" s="177"/>
      <c r="F1394" s="187"/>
      <c r="G1394" s="215"/>
      <c r="H1394" s="215"/>
    </row>
    <row r="1395" spans="2:8" x14ac:dyDescent="0.2">
      <c r="B1395" s="113"/>
      <c r="C1395" s="248"/>
      <c r="D1395" s="114"/>
      <c r="E1395" s="177"/>
      <c r="F1395" s="187"/>
      <c r="G1395" s="215"/>
      <c r="H1395" s="215"/>
    </row>
    <row r="1396" spans="2:8" x14ac:dyDescent="0.2">
      <c r="B1396" s="113"/>
      <c r="C1396" s="248"/>
      <c r="D1396" s="114"/>
      <c r="E1396" s="177"/>
      <c r="F1396" s="187"/>
      <c r="G1396" s="215"/>
      <c r="H1396" s="215"/>
    </row>
    <row r="1397" spans="2:8" x14ac:dyDescent="0.2">
      <c r="B1397" s="113"/>
      <c r="C1397" s="248"/>
      <c r="D1397" s="114"/>
      <c r="E1397" s="177"/>
      <c r="F1397" s="187"/>
      <c r="G1397" s="215"/>
      <c r="H1397" s="215"/>
    </row>
    <row r="1398" spans="2:8" x14ac:dyDescent="0.2">
      <c r="B1398" s="113"/>
      <c r="C1398" s="248"/>
      <c r="D1398" s="114"/>
      <c r="E1398" s="177"/>
      <c r="F1398" s="187"/>
      <c r="G1398" s="215"/>
      <c r="H1398" s="215"/>
    </row>
    <row r="1399" spans="2:8" x14ac:dyDescent="0.2">
      <c r="B1399" s="113"/>
      <c r="C1399" s="248"/>
      <c r="D1399" s="114"/>
      <c r="E1399" s="177"/>
      <c r="F1399" s="187"/>
      <c r="G1399" s="215"/>
      <c r="H1399" s="215"/>
    </row>
    <row r="1400" spans="2:8" x14ac:dyDescent="0.2">
      <c r="B1400" s="113"/>
      <c r="C1400" s="248"/>
      <c r="D1400" s="114"/>
      <c r="E1400" s="177"/>
      <c r="F1400" s="187"/>
      <c r="G1400" s="215"/>
      <c r="H1400" s="215"/>
    </row>
    <row r="1401" spans="2:8" x14ac:dyDescent="0.2">
      <c r="B1401" s="113"/>
      <c r="C1401" s="248"/>
      <c r="D1401" s="114"/>
      <c r="E1401" s="177"/>
      <c r="F1401" s="187"/>
      <c r="G1401" s="215"/>
      <c r="H1401" s="215"/>
    </row>
    <row r="1402" spans="2:8" x14ac:dyDescent="0.2">
      <c r="B1402" s="113"/>
      <c r="C1402" s="248"/>
      <c r="D1402" s="114"/>
      <c r="E1402" s="177"/>
      <c r="F1402" s="187"/>
      <c r="G1402" s="215"/>
      <c r="H1402" s="215"/>
    </row>
    <row r="1403" spans="2:8" x14ac:dyDescent="0.2">
      <c r="B1403" s="113"/>
      <c r="C1403" s="248"/>
      <c r="D1403" s="114"/>
      <c r="E1403" s="177"/>
      <c r="F1403" s="187"/>
      <c r="G1403" s="215"/>
      <c r="H1403" s="215"/>
    </row>
    <row r="1404" spans="2:8" x14ac:dyDescent="0.2">
      <c r="B1404" s="113"/>
      <c r="C1404" s="248"/>
      <c r="D1404" s="114"/>
      <c r="E1404" s="177"/>
      <c r="F1404" s="187"/>
      <c r="G1404" s="215"/>
      <c r="H1404" s="215"/>
    </row>
    <row r="1405" spans="2:8" x14ac:dyDescent="0.2">
      <c r="B1405" s="113"/>
      <c r="C1405" s="248"/>
      <c r="D1405" s="114"/>
      <c r="E1405" s="177"/>
      <c r="F1405" s="187"/>
      <c r="G1405" s="215"/>
      <c r="H1405" s="215"/>
    </row>
    <row r="1406" spans="2:8" x14ac:dyDescent="0.2">
      <c r="B1406" s="113"/>
      <c r="C1406" s="248"/>
      <c r="D1406" s="114"/>
      <c r="E1406" s="177"/>
      <c r="F1406" s="187"/>
      <c r="G1406" s="215"/>
      <c r="H1406" s="215"/>
    </row>
    <row r="1407" spans="2:8" x14ac:dyDescent="0.2">
      <c r="B1407" s="113"/>
      <c r="C1407" s="248"/>
      <c r="D1407" s="114"/>
      <c r="E1407" s="177"/>
      <c r="F1407" s="187"/>
      <c r="G1407" s="215"/>
      <c r="H1407" s="215"/>
    </row>
    <row r="1408" spans="2:8" x14ac:dyDescent="0.2">
      <c r="B1408" s="113"/>
      <c r="C1408" s="248"/>
      <c r="D1408" s="114"/>
      <c r="E1408" s="177"/>
      <c r="F1408" s="187"/>
      <c r="G1408" s="215"/>
      <c r="H1408" s="215"/>
    </row>
    <row r="1409" spans="2:8" x14ac:dyDescent="0.2">
      <c r="B1409" s="113"/>
      <c r="C1409" s="248"/>
      <c r="D1409" s="114"/>
      <c r="E1409" s="177"/>
      <c r="F1409" s="187"/>
      <c r="G1409" s="215"/>
      <c r="H1409" s="215"/>
    </row>
    <row r="1410" spans="2:8" x14ac:dyDescent="0.2">
      <c r="B1410" s="113"/>
      <c r="C1410" s="248"/>
      <c r="D1410" s="114"/>
      <c r="E1410" s="177"/>
      <c r="F1410" s="187"/>
      <c r="G1410" s="215"/>
      <c r="H1410" s="215"/>
    </row>
    <row r="1411" spans="2:8" x14ac:dyDescent="0.2">
      <c r="B1411" s="113"/>
      <c r="C1411" s="248"/>
      <c r="D1411" s="114"/>
      <c r="E1411" s="177"/>
      <c r="F1411" s="187"/>
      <c r="G1411" s="215"/>
      <c r="H1411" s="215"/>
    </row>
    <row r="1412" spans="2:8" x14ac:dyDescent="0.2">
      <c r="B1412" s="113"/>
      <c r="C1412" s="248"/>
      <c r="D1412" s="114"/>
      <c r="E1412" s="177"/>
      <c r="F1412" s="187"/>
      <c r="G1412" s="215"/>
      <c r="H1412" s="215"/>
    </row>
    <row r="1413" spans="2:8" x14ac:dyDescent="0.2">
      <c r="B1413" s="113"/>
      <c r="C1413" s="248"/>
      <c r="D1413" s="114"/>
      <c r="E1413" s="177"/>
      <c r="F1413" s="187"/>
      <c r="G1413" s="215"/>
      <c r="H1413" s="215"/>
    </row>
    <row r="1414" spans="2:8" x14ac:dyDescent="0.2">
      <c r="B1414" s="113"/>
      <c r="C1414" s="248"/>
      <c r="D1414" s="114"/>
      <c r="E1414" s="177"/>
      <c r="F1414" s="187"/>
      <c r="G1414" s="215"/>
      <c r="H1414" s="215"/>
    </row>
    <row r="1415" spans="2:8" x14ac:dyDescent="0.2">
      <c r="B1415" s="113"/>
      <c r="C1415" s="248"/>
      <c r="D1415" s="114"/>
      <c r="E1415" s="177"/>
      <c r="F1415" s="187"/>
      <c r="G1415" s="215"/>
      <c r="H1415" s="215"/>
    </row>
    <row r="1416" spans="2:8" x14ac:dyDescent="0.2">
      <c r="B1416" s="113"/>
      <c r="C1416" s="248"/>
      <c r="D1416" s="114"/>
      <c r="E1416" s="177"/>
      <c r="F1416" s="187"/>
      <c r="G1416" s="215"/>
      <c r="H1416" s="215"/>
    </row>
    <row r="1417" spans="2:8" x14ac:dyDescent="0.2">
      <c r="B1417" s="113"/>
      <c r="C1417" s="248"/>
      <c r="D1417" s="114"/>
      <c r="E1417" s="177"/>
      <c r="F1417" s="187"/>
      <c r="G1417" s="215"/>
      <c r="H1417" s="215"/>
    </row>
    <row r="1418" spans="2:8" x14ac:dyDescent="0.2">
      <c r="B1418" s="113"/>
      <c r="C1418" s="248"/>
      <c r="D1418" s="114"/>
      <c r="E1418" s="177"/>
      <c r="F1418" s="187"/>
      <c r="G1418" s="215"/>
      <c r="H1418" s="215"/>
    </row>
    <row r="1419" spans="2:8" x14ac:dyDescent="0.2">
      <c r="B1419" s="113"/>
      <c r="C1419" s="248"/>
      <c r="D1419" s="114"/>
      <c r="E1419" s="177"/>
      <c r="F1419" s="187"/>
      <c r="G1419" s="215"/>
      <c r="H1419" s="215"/>
    </row>
    <row r="1420" spans="2:8" x14ac:dyDescent="0.2">
      <c r="B1420" s="113"/>
      <c r="C1420" s="248"/>
      <c r="D1420" s="114"/>
      <c r="E1420" s="177"/>
      <c r="F1420" s="187"/>
      <c r="G1420" s="215"/>
      <c r="H1420" s="215"/>
    </row>
    <row r="1421" spans="2:8" x14ac:dyDescent="0.2">
      <c r="B1421" s="113"/>
      <c r="C1421" s="248"/>
      <c r="D1421" s="114"/>
      <c r="E1421" s="177"/>
      <c r="F1421" s="187"/>
      <c r="G1421" s="215"/>
      <c r="H1421" s="215"/>
    </row>
    <row r="1422" spans="2:8" x14ac:dyDescent="0.2">
      <c r="B1422" s="113"/>
      <c r="C1422" s="248"/>
      <c r="D1422" s="114"/>
      <c r="E1422" s="177"/>
      <c r="F1422" s="187"/>
      <c r="G1422" s="215"/>
      <c r="H1422" s="215"/>
    </row>
    <row r="1423" spans="2:8" x14ac:dyDescent="0.2">
      <c r="B1423" s="113"/>
      <c r="C1423" s="248"/>
      <c r="D1423" s="114"/>
      <c r="E1423" s="177"/>
      <c r="F1423" s="187"/>
      <c r="G1423" s="215"/>
      <c r="H1423" s="215"/>
    </row>
    <row r="1424" spans="2:8" x14ac:dyDescent="0.2">
      <c r="B1424" s="113"/>
      <c r="C1424" s="248"/>
      <c r="D1424" s="114"/>
      <c r="E1424" s="177"/>
      <c r="F1424" s="187"/>
      <c r="G1424" s="215"/>
      <c r="H1424" s="215"/>
    </row>
    <row r="1425" spans="2:8" x14ac:dyDescent="0.2">
      <c r="B1425" s="113"/>
      <c r="C1425" s="248"/>
      <c r="D1425" s="114"/>
      <c r="E1425" s="177"/>
      <c r="F1425" s="187"/>
      <c r="G1425" s="215"/>
      <c r="H1425" s="215"/>
    </row>
    <row r="1426" spans="2:8" x14ac:dyDescent="0.2">
      <c r="B1426" s="113"/>
      <c r="C1426" s="248"/>
      <c r="D1426" s="114"/>
      <c r="E1426" s="177"/>
      <c r="F1426" s="187"/>
      <c r="G1426" s="215"/>
      <c r="H1426" s="215"/>
    </row>
    <row r="1427" spans="2:8" x14ac:dyDescent="0.2">
      <c r="B1427" s="113"/>
      <c r="C1427" s="248"/>
      <c r="D1427" s="114"/>
      <c r="E1427" s="177"/>
      <c r="F1427" s="187"/>
      <c r="G1427" s="215"/>
      <c r="H1427" s="215"/>
    </row>
    <row r="1428" spans="2:8" x14ac:dyDescent="0.2">
      <c r="B1428" s="113"/>
      <c r="C1428" s="248"/>
      <c r="D1428" s="114"/>
      <c r="E1428" s="177"/>
      <c r="F1428" s="187"/>
      <c r="G1428" s="215"/>
      <c r="H1428" s="215"/>
    </row>
    <row r="1429" spans="2:8" x14ac:dyDescent="0.2">
      <c r="B1429" s="113"/>
      <c r="C1429" s="248"/>
      <c r="D1429" s="114"/>
      <c r="E1429" s="177"/>
      <c r="F1429" s="187"/>
      <c r="G1429" s="215"/>
      <c r="H1429" s="215"/>
    </row>
    <row r="1430" spans="2:8" x14ac:dyDescent="0.2">
      <c r="B1430" s="113"/>
      <c r="C1430" s="248"/>
      <c r="D1430" s="114"/>
      <c r="E1430" s="177"/>
      <c r="F1430" s="187"/>
      <c r="G1430" s="215"/>
      <c r="H1430" s="215"/>
    </row>
    <row r="1431" spans="2:8" x14ac:dyDescent="0.2">
      <c r="B1431" s="113"/>
      <c r="C1431" s="248"/>
      <c r="D1431" s="114"/>
      <c r="E1431" s="177"/>
      <c r="F1431" s="187"/>
      <c r="G1431" s="215"/>
      <c r="H1431" s="215"/>
    </row>
    <row r="1432" spans="2:8" x14ac:dyDescent="0.2">
      <c r="B1432" s="113"/>
      <c r="C1432" s="248"/>
      <c r="D1432" s="114"/>
      <c r="E1432" s="177"/>
      <c r="F1432" s="187"/>
      <c r="G1432" s="215"/>
      <c r="H1432" s="215"/>
    </row>
    <row r="1433" spans="2:8" x14ac:dyDescent="0.2">
      <c r="B1433" s="113"/>
      <c r="C1433" s="248"/>
      <c r="D1433" s="114"/>
      <c r="E1433" s="177"/>
      <c r="F1433" s="187"/>
      <c r="G1433" s="215"/>
      <c r="H1433" s="215"/>
    </row>
    <row r="1434" spans="2:8" x14ac:dyDescent="0.2">
      <c r="B1434" s="113"/>
      <c r="C1434" s="248"/>
      <c r="D1434" s="114"/>
      <c r="E1434" s="177"/>
      <c r="F1434" s="187"/>
      <c r="G1434" s="215"/>
      <c r="H1434" s="215"/>
    </row>
    <row r="1435" spans="2:8" x14ac:dyDescent="0.2">
      <c r="B1435" s="113"/>
      <c r="C1435" s="248"/>
      <c r="D1435" s="114"/>
      <c r="E1435" s="177"/>
      <c r="F1435" s="187"/>
      <c r="G1435" s="215"/>
      <c r="H1435" s="215"/>
    </row>
    <row r="1436" spans="2:8" x14ac:dyDescent="0.2">
      <c r="B1436" s="113"/>
      <c r="C1436" s="248"/>
      <c r="D1436" s="114"/>
      <c r="E1436" s="177"/>
      <c r="F1436" s="187"/>
      <c r="G1436" s="215"/>
      <c r="H1436" s="215"/>
    </row>
    <row r="1437" spans="2:8" x14ac:dyDescent="0.2">
      <c r="B1437" s="113"/>
      <c r="C1437" s="248"/>
      <c r="D1437" s="114"/>
      <c r="E1437" s="177"/>
      <c r="F1437" s="187"/>
      <c r="G1437" s="215"/>
      <c r="H1437" s="215"/>
    </row>
    <row r="1438" spans="2:8" x14ac:dyDescent="0.2">
      <c r="B1438" s="113"/>
      <c r="C1438" s="248"/>
      <c r="D1438" s="114"/>
      <c r="E1438" s="177"/>
      <c r="F1438" s="187"/>
      <c r="G1438" s="215"/>
      <c r="H1438" s="215"/>
    </row>
    <row r="1439" spans="2:8" x14ac:dyDescent="0.2">
      <c r="B1439" s="113"/>
      <c r="C1439" s="248"/>
      <c r="D1439" s="114"/>
      <c r="E1439" s="177"/>
      <c r="F1439" s="187"/>
      <c r="G1439" s="215"/>
      <c r="H1439" s="215"/>
    </row>
    <row r="1440" spans="2:8" x14ac:dyDescent="0.2">
      <c r="B1440" s="113"/>
      <c r="C1440" s="248"/>
      <c r="D1440" s="114"/>
      <c r="E1440" s="177"/>
      <c r="F1440" s="187"/>
      <c r="G1440" s="215"/>
      <c r="H1440" s="215"/>
    </row>
    <row r="1441" spans="2:8" x14ac:dyDescent="0.2">
      <c r="B1441" s="113"/>
      <c r="C1441" s="248"/>
      <c r="D1441" s="114"/>
      <c r="E1441" s="177"/>
      <c r="F1441" s="187"/>
      <c r="G1441" s="215"/>
      <c r="H1441" s="215"/>
    </row>
    <row r="1442" spans="2:8" x14ac:dyDescent="0.2">
      <c r="B1442" s="113"/>
      <c r="C1442" s="248"/>
      <c r="D1442" s="114"/>
      <c r="E1442" s="177"/>
      <c r="F1442" s="187"/>
      <c r="G1442" s="215"/>
      <c r="H1442" s="215"/>
    </row>
    <row r="1443" spans="2:8" x14ac:dyDescent="0.2">
      <c r="B1443" s="113"/>
      <c r="C1443" s="248"/>
      <c r="D1443" s="114"/>
      <c r="E1443" s="177"/>
      <c r="F1443" s="187"/>
      <c r="G1443" s="215"/>
      <c r="H1443" s="215"/>
    </row>
    <row r="1444" spans="2:8" x14ac:dyDescent="0.2">
      <c r="B1444" s="113"/>
      <c r="C1444" s="248"/>
      <c r="D1444" s="114"/>
      <c r="E1444" s="177"/>
      <c r="F1444" s="187"/>
      <c r="G1444" s="215"/>
      <c r="H1444" s="215"/>
    </row>
    <row r="1445" spans="2:8" x14ac:dyDescent="0.2">
      <c r="B1445" s="113"/>
      <c r="C1445" s="248"/>
      <c r="D1445" s="114"/>
      <c r="E1445" s="177"/>
      <c r="F1445" s="187"/>
      <c r="G1445" s="215"/>
      <c r="H1445" s="215"/>
    </row>
    <row r="1446" spans="2:8" x14ac:dyDescent="0.2">
      <c r="B1446" s="113"/>
      <c r="C1446" s="248"/>
      <c r="D1446" s="114"/>
      <c r="E1446" s="177"/>
      <c r="F1446" s="187"/>
      <c r="G1446" s="215"/>
      <c r="H1446" s="215"/>
    </row>
    <row r="1447" spans="2:8" x14ac:dyDescent="0.2">
      <c r="B1447" s="113"/>
      <c r="C1447" s="248"/>
      <c r="D1447" s="114"/>
      <c r="E1447" s="177"/>
      <c r="F1447" s="187"/>
      <c r="G1447" s="215"/>
      <c r="H1447" s="215"/>
    </row>
    <row r="1448" spans="2:8" x14ac:dyDescent="0.2">
      <c r="B1448" s="113"/>
      <c r="C1448" s="248"/>
      <c r="D1448" s="114"/>
      <c r="E1448" s="177"/>
      <c r="F1448" s="187"/>
      <c r="G1448" s="215"/>
      <c r="H1448" s="215"/>
    </row>
    <row r="1449" spans="2:8" x14ac:dyDescent="0.2">
      <c r="B1449" s="113"/>
      <c r="C1449" s="248"/>
      <c r="D1449" s="114"/>
      <c r="E1449" s="177"/>
      <c r="F1449" s="187"/>
      <c r="G1449" s="215"/>
      <c r="H1449" s="215"/>
    </row>
    <row r="1450" spans="2:8" x14ac:dyDescent="0.2">
      <c r="B1450" s="113"/>
      <c r="C1450" s="248"/>
      <c r="D1450" s="114"/>
      <c r="E1450" s="177"/>
      <c r="F1450" s="187"/>
      <c r="G1450" s="215"/>
      <c r="H1450" s="215"/>
    </row>
    <row r="1451" spans="2:8" x14ac:dyDescent="0.2">
      <c r="B1451" s="113"/>
      <c r="C1451" s="248"/>
      <c r="D1451" s="114"/>
      <c r="E1451" s="177"/>
      <c r="F1451" s="187"/>
      <c r="G1451" s="215"/>
      <c r="H1451" s="215"/>
    </row>
    <row r="1452" spans="2:8" x14ac:dyDescent="0.2">
      <c r="B1452" s="113"/>
      <c r="C1452" s="248"/>
      <c r="D1452" s="114"/>
      <c r="E1452" s="177"/>
      <c r="F1452" s="187"/>
      <c r="G1452" s="215"/>
      <c r="H1452" s="215"/>
    </row>
    <row r="1453" spans="2:8" x14ac:dyDescent="0.2">
      <c r="B1453" s="113"/>
      <c r="C1453" s="248"/>
      <c r="D1453" s="114"/>
      <c r="E1453" s="177"/>
      <c r="F1453" s="187"/>
      <c r="G1453" s="215"/>
      <c r="H1453" s="215"/>
    </row>
    <row r="1454" spans="2:8" x14ac:dyDescent="0.2">
      <c r="B1454" s="113"/>
      <c r="C1454" s="248"/>
      <c r="D1454" s="114"/>
      <c r="E1454" s="177"/>
      <c r="F1454" s="187"/>
      <c r="G1454" s="215"/>
      <c r="H1454" s="215"/>
    </row>
    <row r="1455" spans="2:8" x14ac:dyDescent="0.2">
      <c r="B1455" s="113"/>
      <c r="C1455" s="248"/>
      <c r="D1455" s="114"/>
      <c r="E1455" s="177"/>
      <c r="F1455" s="187"/>
      <c r="G1455" s="215"/>
      <c r="H1455" s="215"/>
    </row>
    <row r="1456" spans="2:8" x14ac:dyDescent="0.2">
      <c r="B1456" s="113"/>
      <c r="C1456" s="248"/>
      <c r="D1456" s="114"/>
      <c r="E1456" s="177"/>
      <c r="F1456" s="187"/>
      <c r="G1456" s="215"/>
      <c r="H1456" s="215"/>
    </row>
    <row r="1457" spans="2:8" x14ac:dyDescent="0.2">
      <c r="B1457" s="113"/>
      <c r="C1457" s="248"/>
      <c r="D1457" s="114"/>
      <c r="E1457" s="177"/>
      <c r="F1457" s="187"/>
      <c r="G1457" s="215"/>
      <c r="H1457" s="215"/>
    </row>
    <row r="1458" spans="2:8" x14ac:dyDescent="0.2">
      <c r="B1458" s="113"/>
      <c r="C1458" s="248"/>
      <c r="D1458" s="114"/>
      <c r="E1458" s="177"/>
      <c r="F1458" s="187"/>
      <c r="G1458" s="215"/>
      <c r="H1458" s="215"/>
    </row>
    <row r="1459" spans="2:8" x14ac:dyDescent="0.2">
      <c r="B1459" s="113"/>
      <c r="C1459" s="248"/>
      <c r="D1459" s="114"/>
      <c r="E1459" s="177"/>
      <c r="F1459" s="187"/>
      <c r="G1459" s="215"/>
      <c r="H1459" s="215"/>
    </row>
    <row r="1460" spans="2:8" x14ac:dyDescent="0.2">
      <c r="B1460" s="113"/>
      <c r="C1460" s="248"/>
      <c r="D1460" s="114"/>
      <c r="E1460" s="177"/>
      <c r="F1460" s="187"/>
      <c r="G1460" s="215"/>
      <c r="H1460" s="215"/>
    </row>
    <row r="1461" spans="2:8" x14ac:dyDescent="0.2">
      <c r="B1461" s="113"/>
      <c r="C1461" s="248"/>
      <c r="D1461" s="114"/>
      <c r="E1461" s="177"/>
      <c r="F1461" s="187"/>
      <c r="G1461" s="215"/>
      <c r="H1461" s="215"/>
    </row>
    <row r="1462" spans="2:8" x14ac:dyDescent="0.2">
      <c r="B1462" s="113"/>
      <c r="C1462" s="248"/>
      <c r="D1462" s="114"/>
      <c r="E1462" s="177"/>
      <c r="F1462" s="187"/>
      <c r="G1462" s="215"/>
      <c r="H1462" s="215"/>
    </row>
    <row r="1463" spans="2:8" x14ac:dyDescent="0.2">
      <c r="B1463" s="113"/>
      <c r="C1463" s="248"/>
      <c r="D1463" s="114"/>
      <c r="E1463" s="177"/>
      <c r="F1463" s="187"/>
      <c r="G1463" s="215"/>
      <c r="H1463" s="215"/>
    </row>
    <row r="1464" spans="2:8" x14ac:dyDescent="0.2">
      <c r="B1464" s="113"/>
      <c r="C1464" s="248"/>
      <c r="D1464" s="114"/>
      <c r="E1464" s="177"/>
      <c r="F1464" s="187"/>
      <c r="G1464" s="215"/>
      <c r="H1464" s="215"/>
    </row>
    <row r="1465" spans="2:8" x14ac:dyDescent="0.2">
      <c r="B1465" s="113"/>
      <c r="C1465" s="248"/>
      <c r="D1465" s="114"/>
      <c r="E1465" s="177"/>
      <c r="F1465" s="187"/>
      <c r="G1465" s="215"/>
      <c r="H1465" s="215"/>
    </row>
    <row r="1466" spans="2:8" x14ac:dyDescent="0.2">
      <c r="B1466" s="113"/>
      <c r="C1466" s="248"/>
      <c r="D1466" s="114"/>
      <c r="E1466" s="177"/>
      <c r="F1466" s="187"/>
      <c r="G1466" s="215"/>
      <c r="H1466" s="215"/>
    </row>
    <row r="1467" spans="2:8" x14ac:dyDescent="0.2">
      <c r="B1467" s="113"/>
      <c r="C1467" s="248"/>
      <c r="D1467" s="114"/>
      <c r="E1467" s="177"/>
      <c r="F1467" s="187"/>
      <c r="G1467" s="215"/>
      <c r="H1467" s="215"/>
    </row>
    <row r="1468" spans="2:8" x14ac:dyDescent="0.2">
      <c r="B1468" s="113"/>
      <c r="C1468" s="248"/>
      <c r="D1468" s="114"/>
      <c r="E1468" s="177"/>
      <c r="F1468" s="187"/>
      <c r="G1468" s="215"/>
      <c r="H1468" s="215"/>
    </row>
    <row r="1469" spans="2:8" x14ac:dyDescent="0.2">
      <c r="B1469" s="113"/>
      <c r="C1469" s="248"/>
      <c r="D1469" s="114"/>
      <c r="E1469" s="177"/>
      <c r="F1469" s="187"/>
      <c r="G1469" s="215"/>
      <c r="H1469" s="215"/>
    </row>
    <row r="1470" spans="2:8" x14ac:dyDescent="0.2">
      <c r="B1470" s="113"/>
      <c r="C1470" s="248"/>
      <c r="D1470" s="114"/>
      <c r="E1470" s="177"/>
      <c r="F1470" s="187"/>
      <c r="G1470" s="215"/>
      <c r="H1470" s="215"/>
    </row>
    <row r="1471" spans="2:8" x14ac:dyDescent="0.2">
      <c r="B1471" s="113"/>
      <c r="C1471" s="248"/>
      <c r="D1471" s="114"/>
      <c r="E1471" s="177"/>
      <c r="F1471" s="187"/>
      <c r="G1471" s="215"/>
      <c r="H1471" s="215"/>
    </row>
    <row r="1472" spans="2:8" x14ac:dyDescent="0.2">
      <c r="B1472" s="113"/>
      <c r="C1472" s="248"/>
      <c r="D1472" s="114"/>
      <c r="E1472" s="177"/>
      <c r="F1472" s="187"/>
      <c r="G1472" s="215"/>
      <c r="H1472" s="215"/>
    </row>
    <row r="1473" spans="2:8" x14ac:dyDescent="0.2">
      <c r="B1473" s="113"/>
      <c r="C1473" s="248"/>
      <c r="D1473" s="114"/>
      <c r="E1473" s="177"/>
      <c r="F1473" s="187"/>
      <c r="G1473" s="215"/>
      <c r="H1473" s="215"/>
    </row>
    <row r="1474" spans="2:8" x14ac:dyDescent="0.2">
      <c r="B1474" s="113"/>
      <c r="C1474" s="248"/>
      <c r="D1474" s="114"/>
      <c r="E1474" s="177"/>
      <c r="F1474" s="187"/>
      <c r="G1474" s="215"/>
      <c r="H1474" s="215"/>
    </row>
    <row r="1475" spans="2:8" x14ac:dyDescent="0.2">
      <c r="B1475" s="113"/>
      <c r="C1475" s="248"/>
      <c r="D1475" s="114"/>
      <c r="E1475" s="177"/>
      <c r="F1475" s="187"/>
      <c r="G1475" s="215"/>
      <c r="H1475" s="215"/>
    </row>
    <row r="1476" spans="2:8" x14ac:dyDescent="0.2">
      <c r="B1476" s="113"/>
      <c r="C1476" s="248"/>
      <c r="D1476" s="114"/>
      <c r="E1476" s="177"/>
      <c r="F1476" s="187"/>
      <c r="G1476" s="215"/>
      <c r="H1476" s="215"/>
    </row>
    <row r="1477" spans="2:8" x14ac:dyDescent="0.2">
      <c r="B1477" s="113"/>
      <c r="C1477" s="248"/>
      <c r="D1477" s="114"/>
      <c r="E1477" s="177"/>
      <c r="F1477" s="187"/>
      <c r="G1477" s="215"/>
      <c r="H1477" s="215"/>
    </row>
    <row r="1478" spans="2:8" x14ac:dyDescent="0.2">
      <c r="B1478" s="113"/>
      <c r="C1478" s="248"/>
      <c r="D1478" s="114"/>
      <c r="E1478" s="177"/>
      <c r="F1478" s="187"/>
      <c r="G1478" s="215"/>
      <c r="H1478" s="215"/>
    </row>
  </sheetData>
  <sheetProtection formatRows="0"/>
  <protectedRanges>
    <protectedRange password="CF7A" sqref="G1:H4 G837:H837 G839:H44598 G838 G112 G697 G820:H821 G827 G576 G575:H575 G623:H624 G574 G828:H829 G12:H12 G69:H71 H500:H517 G552:H552 G277 H521:H550 H553:H573 G157 G142 G192 G113:H114 G228 G295 G320 G344 G345:H345 H579:H585 G621:G622 G594:H596 G551 H588:H592 G158:H159 G16:H18 G75:H79 G296:H296 G321:H321 G369 G370:H370 G393 G394:H394 G431:H431 G466 G467:H467 G498 G499:H499 G518 H597:H620 H625:H629 H632:H639 H641:H651 H653:H657 G420 H659:H674 G430 H676:H678 H680:H682 H687:H696 G630 G631:H631 G640 H701:H704 G652 H707:H708 H714:H721 G658 G675 G683:G685 G679 H724:H736 H742 G193:H194 G222 H745:H746 G278:H279 H749:H764 G229:H230 H770:H772 G577:H578 G587:H587 G586 G593 H775:H782 H785:H802 G519:H520 H805:H814 G740:H741 G744:H744 G748:H748 G743 G747 G765:G766 G700:H700 G706:H706 G705 G709:G710 G713:H713 G722 G723:H723 G737:G738 G36:H39 G48:H48 G61:H61 H817 G53:H53 G57:H57 G47 G52 G56 G60 G68 G768:H769 G773 G774:H774 G783 G784:H784 G803 G816:H816 G804:H804 G815 G818:G819 H822:H826 H830:H835 H80:H111 H322:H343 H160:H191 H115:H156 H195:H227 H346:H368 H468:H497 H231:H276 H371:H392 H13:H15 H19:H35 H40:H46 H49:H51 H54:H55 H58:H59 H62:H67 H72:H74 H280:H294 H297:H319 H395:H429 H432:H465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698:H699 G686:H686 G739:H739 G767:H767 G711:H712" name="Intervalo1_4"/>
    <protectedRange password="CF7A" sqref="G836:I836" name="Intervalo1_8"/>
    <protectedRange password="CF7A" sqref="G13:G15 G19:G35 G62:G67 G72:G74 G223:G227 G588:G592 G625:G629 G632:G639 G641:G651 G676:G678 G680:G682 G687:G696 G707:G708 G714:G721 G742 G745:G746 G770:G772 G817 G830:G835 G659:G674 G40:G46 G49:G51 G54:G55 G58:G59 G724:G736 G775:G782 G785:G802 G805:G814 G280:G294 G749:G764 G597:G620 G653:G657 G822:G826 G115:G141 G297:G319 G395:G419 G421:G429 G432:G465 G500:G517 G521:G550 G553:G573 G579:G585 G701:G704 G80:G111 G160:G191 G195:G221 G231:G276 G322:G343 G346:G368 G371:G392 G468:G497 G143:G156" name="Intervalo1_12"/>
  </protectedRanges>
  <dataConsolidate/>
  <mergeCells count="75">
    <mergeCell ref="J10:J11"/>
    <mergeCell ref="D818:H818"/>
    <mergeCell ref="D773:H773"/>
    <mergeCell ref="D783:H783"/>
    <mergeCell ref="D803:H803"/>
    <mergeCell ref="D815:H815"/>
    <mergeCell ref="D743:H743"/>
    <mergeCell ref="D747:H747"/>
    <mergeCell ref="D765:H765"/>
    <mergeCell ref="D705:H705"/>
    <mergeCell ref="D709:H709"/>
    <mergeCell ref="D722:H722"/>
    <mergeCell ref="D737:H737"/>
    <mergeCell ref="C157:H157"/>
    <mergeCell ref="C192:H192"/>
    <mergeCell ref="C69:H69"/>
    <mergeCell ref="D47:H47"/>
    <mergeCell ref="D52:H52"/>
    <mergeCell ref="D56:H56"/>
    <mergeCell ref="B10:B11"/>
    <mergeCell ref="C10:I10"/>
    <mergeCell ref="C11:I11"/>
    <mergeCell ref="D38:I38"/>
    <mergeCell ref="D18:I18"/>
    <mergeCell ref="C36:H36"/>
    <mergeCell ref="C1:I1"/>
    <mergeCell ref="C2:I2"/>
    <mergeCell ref="C3:I3"/>
    <mergeCell ref="C16:H16"/>
    <mergeCell ref="D12:I12"/>
    <mergeCell ref="D7:I7"/>
    <mergeCell ref="H5:I5"/>
    <mergeCell ref="D5:G5"/>
    <mergeCell ref="D6:G6"/>
    <mergeCell ref="D679:H679"/>
    <mergeCell ref="D683:H683"/>
    <mergeCell ref="C228:H228"/>
    <mergeCell ref="D277:H277"/>
    <mergeCell ref="D295:H295"/>
    <mergeCell ref="C320:H320"/>
    <mergeCell ref="C575:H575"/>
    <mergeCell ref="D574:H574"/>
    <mergeCell ref="D518:H518"/>
    <mergeCell ref="D551:H551"/>
    <mergeCell ref="D369:H369"/>
    <mergeCell ref="D393:H393"/>
    <mergeCell ref="D466:H466"/>
    <mergeCell ref="D498:H498"/>
    <mergeCell ref="D430:H430"/>
    <mergeCell ref="D344:H344"/>
    <mergeCell ref="C594:H594"/>
    <mergeCell ref="D596:I596"/>
    <mergeCell ref="C836:H836"/>
    <mergeCell ref="D821:I821"/>
    <mergeCell ref="D623:I623"/>
    <mergeCell ref="D740:I740"/>
    <mergeCell ref="D829:I829"/>
    <mergeCell ref="D699:I699"/>
    <mergeCell ref="D686:I686"/>
    <mergeCell ref="D630:H630"/>
    <mergeCell ref="D640:H640"/>
    <mergeCell ref="D652:H652"/>
    <mergeCell ref="D768:I768"/>
    <mergeCell ref="D712:I712"/>
    <mergeCell ref="D658:H658"/>
    <mergeCell ref="D675:H675"/>
    <mergeCell ref="D60:H60"/>
    <mergeCell ref="D68:H68"/>
    <mergeCell ref="D586:H586"/>
    <mergeCell ref="D593:H593"/>
    <mergeCell ref="D577:I577"/>
    <mergeCell ref="D71:I71"/>
    <mergeCell ref="C75:H75"/>
    <mergeCell ref="D77:I77"/>
    <mergeCell ref="D112:H112"/>
  </mergeCells>
  <phoneticPr fontId="0" type="noConversion"/>
  <printOptions horizontalCentered="1" gridLines="1"/>
  <pageMargins left="0.51181102362204722" right="0.31496062992125984" top="0.74803149606299213" bottom="0.74803149606299213" header="0.31496062992125984" footer="0.31496062992125984"/>
  <pageSetup paperSize="9" scale="81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zoomScale="75" zoomScaleNormal="75" workbookViewId="0">
      <selection activeCell="P21" sqref="P21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13.28515625" customWidth="1"/>
    <col min="13" max="13" width="8.7109375" customWidth="1"/>
    <col min="14" max="14" width="13.28515625" customWidth="1"/>
    <col min="15" max="15" width="8.7109375" customWidth="1"/>
    <col min="16" max="16" width="13.28515625" customWidth="1"/>
    <col min="17" max="17" width="8.7109375" customWidth="1"/>
    <col min="18" max="18" width="13.28515625" customWidth="1"/>
    <col min="19" max="19" width="8.7109375" customWidth="1"/>
    <col min="20" max="20" width="13.28515625" customWidth="1"/>
    <col min="21" max="21" width="8.7109375" customWidth="1"/>
    <col min="22" max="22" width="13.28515625" customWidth="1"/>
    <col min="23" max="23" width="8.7109375" customWidth="1"/>
    <col min="24" max="24" width="13.28515625" customWidth="1"/>
    <col min="25" max="25" width="8.7109375" customWidth="1"/>
    <col min="26" max="26" width="13.28515625" customWidth="1"/>
    <col min="27" max="27" width="8.7109375" customWidth="1"/>
    <col min="28" max="28" width="13.28515625" customWidth="1"/>
    <col min="29" max="29" width="9.28515625" customWidth="1"/>
    <col min="30" max="30" width="4.28515625" customWidth="1"/>
    <col min="31" max="32" width="13.7109375" customWidth="1"/>
  </cols>
  <sheetData>
    <row r="1" spans="1:32" ht="18" customHeight="1" x14ac:dyDescent="0.2">
      <c r="A1" s="28"/>
      <c r="B1" s="240" t="s">
        <v>17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192"/>
      <c r="S1" s="192"/>
      <c r="T1" s="192"/>
      <c r="U1" s="192"/>
      <c r="V1" s="191"/>
      <c r="W1" s="191"/>
      <c r="X1" s="191"/>
      <c r="Y1" s="191"/>
      <c r="Z1" s="191"/>
      <c r="AA1" s="191"/>
      <c r="AB1" s="191"/>
      <c r="AC1" s="191"/>
    </row>
    <row r="2" spans="1:32" ht="18" customHeight="1" x14ac:dyDescent="0.2">
      <c r="A2" s="28"/>
      <c r="B2" s="238" t="s">
        <v>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193"/>
      <c r="S2" s="193"/>
      <c r="T2" s="193"/>
      <c r="U2" s="193"/>
      <c r="V2" s="190"/>
      <c r="W2" s="190"/>
      <c r="X2" s="190"/>
      <c r="Y2" s="190"/>
      <c r="Z2" s="190"/>
      <c r="AA2" s="190"/>
      <c r="AB2" s="190"/>
      <c r="AC2" s="190"/>
    </row>
    <row r="3" spans="1:32" ht="18" customHeight="1" x14ac:dyDescent="0.2">
      <c r="A3" s="28"/>
      <c r="B3" s="242" t="s">
        <v>56</v>
      </c>
      <c r="C3" s="242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</row>
    <row r="4" spans="1:32" ht="18" customHeight="1" x14ac:dyDescent="0.2">
      <c r="A4" s="28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</row>
    <row r="5" spans="1:32" ht="18" customHeight="1" x14ac:dyDescent="0.2">
      <c r="A5" s="28"/>
      <c r="B5" s="239" t="s">
        <v>1115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194"/>
      <c r="S5" s="194"/>
      <c r="T5" s="194"/>
      <c r="U5" s="194"/>
      <c r="V5" s="116"/>
      <c r="W5" s="116"/>
      <c r="X5" s="116"/>
      <c r="Y5" s="116"/>
      <c r="Z5" s="116"/>
      <c r="AA5" s="116"/>
      <c r="AB5" s="116"/>
      <c r="AC5" s="116"/>
    </row>
    <row r="6" spans="1:32" ht="18" customHeight="1" x14ac:dyDescent="0.2">
      <c r="A6" s="28"/>
      <c r="B6" s="239" t="s">
        <v>1116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194"/>
      <c r="S6" s="194"/>
      <c r="T6" s="194"/>
      <c r="U6" s="194"/>
      <c r="V6" s="116"/>
      <c r="W6" s="116"/>
      <c r="X6" s="116"/>
      <c r="Y6" s="116"/>
      <c r="Z6" s="116"/>
      <c r="AA6" s="116"/>
      <c r="AB6" s="116"/>
      <c r="AC6" s="116"/>
    </row>
    <row r="7" spans="1:32" ht="18" customHeight="1" thickBot="1" x14ac:dyDescent="0.25">
      <c r="A7" s="28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8" spans="1:32" ht="18" customHeight="1" x14ac:dyDescent="0.2">
      <c r="A8" s="29"/>
      <c r="B8" s="357" t="s">
        <v>18</v>
      </c>
      <c r="C8" s="359" t="s">
        <v>19</v>
      </c>
      <c r="D8" s="361" t="s">
        <v>20</v>
      </c>
      <c r="E8" s="357" t="s">
        <v>21</v>
      </c>
      <c r="F8" s="351" t="s">
        <v>22</v>
      </c>
      <c r="G8" s="352"/>
      <c r="H8" s="351" t="s">
        <v>23</v>
      </c>
      <c r="I8" s="352"/>
      <c r="J8" s="353" t="s">
        <v>24</v>
      </c>
      <c r="K8" s="352"/>
      <c r="L8" s="351" t="s">
        <v>28</v>
      </c>
      <c r="M8" s="354"/>
      <c r="N8" s="351" t="s">
        <v>29</v>
      </c>
      <c r="O8" s="352"/>
      <c r="P8" s="351" t="s">
        <v>55</v>
      </c>
      <c r="Q8" s="352"/>
      <c r="R8" s="351" t="s">
        <v>57</v>
      </c>
      <c r="S8" s="352"/>
      <c r="T8" s="351" t="s">
        <v>58</v>
      </c>
      <c r="U8" s="352"/>
      <c r="V8" s="351" t="s">
        <v>114</v>
      </c>
      <c r="W8" s="352"/>
      <c r="X8" s="351" t="s">
        <v>115</v>
      </c>
      <c r="Y8" s="352"/>
      <c r="Z8" s="351" t="s">
        <v>116</v>
      </c>
      <c r="AA8" s="352"/>
      <c r="AB8" s="351" t="s">
        <v>117</v>
      </c>
      <c r="AC8" s="352"/>
    </row>
    <row r="9" spans="1:32" ht="18" customHeight="1" thickBot="1" x14ac:dyDescent="0.25">
      <c r="A9" s="29"/>
      <c r="B9" s="358"/>
      <c r="C9" s="360"/>
      <c r="D9" s="362"/>
      <c r="E9" s="358"/>
      <c r="F9" s="260" t="s">
        <v>25</v>
      </c>
      <c r="G9" s="261" t="s">
        <v>26</v>
      </c>
      <c r="H9" s="260" t="s">
        <v>25</v>
      </c>
      <c r="I9" s="261" t="s">
        <v>26</v>
      </c>
      <c r="J9" s="262" t="s">
        <v>25</v>
      </c>
      <c r="K9" s="261" t="s">
        <v>26</v>
      </c>
      <c r="L9" s="260" t="s">
        <v>25</v>
      </c>
      <c r="M9" s="263" t="s">
        <v>26</v>
      </c>
      <c r="N9" s="260" t="s">
        <v>25</v>
      </c>
      <c r="O9" s="261" t="s">
        <v>26</v>
      </c>
      <c r="P9" s="264" t="s">
        <v>25</v>
      </c>
      <c r="Q9" s="265" t="s">
        <v>26</v>
      </c>
      <c r="R9" s="260" t="s">
        <v>25</v>
      </c>
      <c r="S9" s="261" t="s">
        <v>26</v>
      </c>
      <c r="T9" s="260" t="s">
        <v>25</v>
      </c>
      <c r="U9" s="261" t="s">
        <v>26</v>
      </c>
      <c r="V9" s="260" t="s">
        <v>25</v>
      </c>
      <c r="W9" s="261" t="s">
        <v>26</v>
      </c>
      <c r="X9" s="260" t="s">
        <v>25</v>
      </c>
      <c r="Y9" s="261" t="s">
        <v>26</v>
      </c>
      <c r="Z9" s="260" t="s">
        <v>25</v>
      </c>
      <c r="AA9" s="261" t="s">
        <v>26</v>
      </c>
      <c r="AB9" s="260" t="s">
        <v>25</v>
      </c>
      <c r="AC9" s="261" t="s">
        <v>26</v>
      </c>
    </row>
    <row r="10" spans="1:32" ht="27" customHeight="1" x14ac:dyDescent="0.2">
      <c r="A10" s="29"/>
      <c r="B10" s="266" t="s">
        <v>1</v>
      </c>
      <c r="C10" s="308" t="s">
        <v>41</v>
      </c>
      <c r="D10" s="310">
        <f>PLANILHA!I16</f>
        <v>6405.4</v>
      </c>
      <c r="E10" s="311">
        <f t="shared" ref="E10:E24" si="0">D10/$D$25</f>
        <v>1.0699999999999999E-2</v>
      </c>
      <c r="F10" s="267">
        <f>ROUND((G10*D10),2)</f>
        <v>6405.4</v>
      </c>
      <c r="G10" s="306">
        <v>1</v>
      </c>
      <c r="H10" s="268">
        <f>ROUND((I10*D10),2)</f>
        <v>0</v>
      </c>
      <c r="I10" s="271"/>
      <c r="J10" s="268">
        <f>ROUND((K10*D10),2)</f>
        <v>0</v>
      </c>
      <c r="K10" s="270"/>
      <c r="L10" s="268">
        <f>ROUND((D10*M10),2)</f>
        <v>0</v>
      </c>
      <c r="M10" s="271"/>
      <c r="N10" s="268">
        <f>ROUND((D10*O10),2)</f>
        <v>0</v>
      </c>
      <c r="O10" s="269"/>
      <c r="P10" s="268">
        <f t="shared" ref="P10:P24" si="1">ROUND((D10*Q10),2)</f>
        <v>0</v>
      </c>
      <c r="Q10" s="272"/>
      <c r="R10" s="268">
        <f t="shared" ref="R10:R24" si="2">ROUND((D10*S10),2)</f>
        <v>0</v>
      </c>
      <c r="S10" s="271"/>
      <c r="T10" s="268">
        <f>ROUND((D10*U10),2)</f>
        <v>0</v>
      </c>
      <c r="U10" s="271"/>
      <c r="V10" s="268">
        <f>ROUND((D10*W10),2)</f>
        <v>0</v>
      </c>
      <c r="W10" s="271"/>
      <c r="X10" s="268">
        <f>ROUND((D10*Y10),2)</f>
        <v>0</v>
      </c>
      <c r="Y10" s="271"/>
      <c r="Z10" s="268">
        <f>ROUND((D10*AA10),2)</f>
        <v>0</v>
      </c>
      <c r="AA10" s="271"/>
      <c r="AB10" s="268">
        <f>ROUND((D10*AC10),2)</f>
        <v>0</v>
      </c>
      <c r="AC10" s="269"/>
      <c r="AD10" s="72"/>
      <c r="AE10" s="295">
        <f>SUM(F10,H10,J10,L10,N10,P10,R10,T10,V10,X10,Z10,AB10)</f>
        <v>6405.4</v>
      </c>
      <c r="AF10" s="235">
        <f t="shared" ref="AF10:AF23" si="3">D10</f>
        <v>6405.4</v>
      </c>
    </row>
    <row r="11" spans="1:32" ht="27" customHeight="1" x14ac:dyDescent="0.2">
      <c r="A11" s="29"/>
      <c r="B11" s="273" t="s">
        <v>9</v>
      </c>
      <c r="C11" s="309" t="s">
        <v>125</v>
      </c>
      <c r="D11" s="310">
        <f>PLANILHA!I36</f>
        <v>12561.79</v>
      </c>
      <c r="E11" s="311">
        <f t="shared" si="0"/>
        <v>2.1000000000000001E-2</v>
      </c>
      <c r="F11" s="274">
        <f>ROUND((G11*D11),2)</f>
        <v>6908.98</v>
      </c>
      <c r="G11" s="281">
        <v>0.55000000000000004</v>
      </c>
      <c r="H11" s="274">
        <f t="shared" ref="H11:H24" si="4">ROUND((I11*D11),2)</f>
        <v>5652.81</v>
      </c>
      <c r="I11" s="281">
        <v>0.45</v>
      </c>
      <c r="J11" s="277">
        <f>ROUND((K11*D11),2)</f>
        <v>0</v>
      </c>
      <c r="K11" s="276"/>
      <c r="L11" s="277">
        <f>ROUND((D11*M11),2)</f>
        <v>0</v>
      </c>
      <c r="M11" s="279"/>
      <c r="N11" s="277">
        <f t="shared" ref="N11:N24" si="5">ROUND((D11*O11),2)</f>
        <v>0</v>
      </c>
      <c r="O11" s="278"/>
      <c r="P11" s="277">
        <f t="shared" si="1"/>
        <v>0</v>
      </c>
      <c r="Q11" s="278"/>
      <c r="R11" s="277">
        <f t="shared" si="2"/>
        <v>0</v>
      </c>
      <c r="S11" s="279"/>
      <c r="T11" s="277">
        <f t="shared" ref="T11:T24" si="6">ROUND((D11*U11),2)</f>
        <v>0</v>
      </c>
      <c r="U11" s="279"/>
      <c r="V11" s="277">
        <f t="shared" ref="V11:V24" si="7">ROUND((D11*W11),2)</f>
        <v>0</v>
      </c>
      <c r="W11" s="279"/>
      <c r="X11" s="277">
        <f t="shared" ref="X11:X24" si="8">ROUND((D11*Y11),2)</f>
        <v>0</v>
      </c>
      <c r="Y11" s="279"/>
      <c r="Z11" s="277">
        <f t="shared" ref="Z11:Z24" si="9">ROUND((D11*AA11),2)</f>
        <v>0</v>
      </c>
      <c r="AA11" s="279"/>
      <c r="AB11" s="277">
        <f t="shared" ref="AB11:AB24" si="10">ROUND((D11*AC11),2)</f>
        <v>0</v>
      </c>
      <c r="AC11" s="278"/>
      <c r="AD11" s="72"/>
      <c r="AE11" s="295">
        <f t="shared" ref="AE11:AE24" si="11">SUM(F11,H11,J11,L11,N11,P11,R11,T11,V11,X11,Z11,AB11)</f>
        <v>12561.79</v>
      </c>
      <c r="AF11" s="235">
        <f t="shared" si="3"/>
        <v>12561.79</v>
      </c>
    </row>
    <row r="12" spans="1:32" ht="39.75" customHeight="1" x14ac:dyDescent="0.2">
      <c r="A12" s="29"/>
      <c r="B12" s="273" t="s">
        <v>10</v>
      </c>
      <c r="C12" s="309" t="s">
        <v>1114</v>
      </c>
      <c r="D12" s="310">
        <f>PLANILHA!I69</f>
        <v>62684.72</v>
      </c>
      <c r="E12" s="311">
        <f t="shared" si="0"/>
        <v>0.1048</v>
      </c>
      <c r="F12" s="277">
        <f t="shared" ref="F12:F24" si="12">ROUND((G12*D12),2)</f>
        <v>0</v>
      </c>
      <c r="G12" s="279"/>
      <c r="H12" s="274">
        <f t="shared" si="4"/>
        <v>18805.419999999998</v>
      </c>
      <c r="I12" s="281">
        <v>0.3</v>
      </c>
      <c r="J12" s="274">
        <f t="shared" ref="J12:J24" si="13">ROUND((K12*D12),2)</f>
        <v>15671.18</v>
      </c>
      <c r="K12" s="280">
        <v>0.25</v>
      </c>
      <c r="L12" s="274">
        <f>ROUND((D12*M12),2)</f>
        <v>15671.18</v>
      </c>
      <c r="M12" s="281">
        <v>0.25</v>
      </c>
      <c r="N12" s="274">
        <f t="shared" si="5"/>
        <v>12536.94</v>
      </c>
      <c r="O12" s="275">
        <v>0.2</v>
      </c>
      <c r="P12" s="277">
        <f t="shared" si="1"/>
        <v>0</v>
      </c>
      <c r="Q12" s="278"/>
      <c r="R12" s="277">
        <f t="shared" si="2"/>
        <v>0</v>
      </c>
      <c r="S12" s="279"/>
      <c r="T12" s="277">
        <f t="shared" si="6"/>
        <v>0</v>
      </c>
      <c r="U12" s="279"/>
      <c r="V12" s="277">
        <f t="shared" si="7"/>
        <v>0</v>
      </c>
      <c r="W12" s="279"/>
      <c r="X12" s="277">
        <f t="shared" si="8"/>
        <v>0</v>
      </c>
      <c r="Y12" s="279"/>
      <c r="Z12" s="277">
        <f t="shared" si="9"/>
        <v>0</v>
      </c>
      <c r="AA12" s="279"/>
      <c r="AB12" s="277">
        <f t="shared" si="10"/>
        <v>0</v>
      </c>
      <c r="AC12" s="278"/>
      <c r="AD12" s="72"/>
      <c r="AE12" s="295">
        <f t="shared" si="11"/>
        <v>62684.72</v>
      </c>
      <c r="AF12" s="235">
        <f t="shared" si="3"/>
        <v>62684.72</v>
      </c>
    </row>
    <row r="13" spans="1:32" ht="27" customHeight="1" x14ac:dyDescent="0.2">
      <c r="A13" s="29"/>
      <c r="B13" s="273" t="s">
        <v>11</v>
      </c>
      <c r="C13" s="309" t="s">
        <v>68</v>
      </c>
      <c r="D13" s="310">
        <f>PLANILHA!I75</f>
        <v>29975.24</v>
      </c>
      <c r="E13" s="311">
        <f t="shared" si="0"/>
        <v>5.0099999999999999E-2</v>
      </c>
      <c r="F13" s="277">
        <f t="shared" si="12"/>
        <v>0</v>
      </c>
      <c r="G13" s="279"/>
      <c r="H13" s="277">
        <f t="shared" si="4"/>
        <v>0</v>
      </c>
      <c r="I13" s="279"/>
      <c r="J13" s="274">
        <f t="shared" si="13"/>
        <v>8992.57</v>
      </c>
      <c r="K13" s="280">
        <v>0.3</v>
      </c>
      <c r="L13" s="274">
        <f>ROUND((D13*M13),2)</f>
        <v>8992.57</v>
      </c>
      <c r="M13" s="281">
        <v>0.3</v>
      </c>
      <c r="N13" s="274">
        <f t="shared" si="5"/>
        <v>5995.05</v>
      </c>
      <c r="O13" s="275">
        <v>0.2</v>
      </c>
      <c r="P13" s="274">
        <f t="shared" si="1"/>
        <v>5995.05</v>
      </c>
      <c r="Q13" s="275">
        <v>0.2</v>
      </c>
      <c r="R13" s="277">
        <f t="shared" si="2"/>
        <v>0</v>
      </c>
      <c r="S13" s="279"/>
      <c r="T13" s="277">
        <f t="shared" si="6"/>
        <v>0</v>
      </c>
      <c r="U13" s="279"/>
      <c r="V13" s="277">
        <f t="shared" si="7"/>
        <v>0</v>
      </c>
      <c r="W13" s="279"/>
      <c r="X13" s="277">
        <f t="shared" si="8"/>
        <v>0</v>
      </c>
      <c r="Y13" s="279"/>
      <c r="Z13" s="277">
        <f t="shared" si="9"/>
        <v>0</v>
      </c>
      <c r="AA13" s="279"/>
      <c r="AB13" s="277">
        <f t="shared" si="10"/>
        <v>0</v>
      </c>
      <c r="AC13" s="278"/>
      <c r="AD13" s="72"/>
      <c r="AE13" s="295">
        <f t="shared" si="11"/>
        <v>29975.24</v>
      </c>
      <c r="AF13" s="235">
        <f t="shared" si="3"/>
        <v>29975.24</v>
      </c>
    </row>
    <row r="14" spans="1:32" ht="27" customHeight="1" x14ac:dyDescent="0.2">
      <c r="A14" s="29"/>
      <c r="B14" s="273" t="s">
        <v>12</v>
      </c>
      <c r="C14" s="309" t="s">
        <v>70</v>
      </c>
      <c r="D14" s="310">
        <f>PLANILHA!I575</f>
        <v>189367.86</v>
      </c>
      <c r="E14" s="311">
        <f t="shared" si="0"/>
        <v>0.31659999999999999</v>
      </c>
      <c r="F14" s="277">
        <f t="shared" si="12"/>
        <v>0</v>
      </c>
      <c r="G14" s="279"/>
      <c r="H14" s="277">
        <f t="shared" si="4"/>
        <v>0</v>
      </c>
      <c r="I14" s="279"/>
      <c r="J14" s="277">
        <f t="shared" si="13"/>
        <v>0</v>
      </c>
      <c r="K14" s="276"/>
      <c r="L14" s="274">
        <f t="shared" ref="L14:L24" si="14">ROUND((D14*M14),2)</f>
        <v>47341.97</v>
      </c>
      <c r="M14" s="281">
        <v>0.25</v>
      </c>
      <c r="N14" s="274">
        <f t="shared" si="5"/>
        <v>47341.97</v>
      </c>
      <c r="O14" s="275">
        <v>0.25</v>
      </c>
      <c r="P14" s="274">
        <f t="shared" si="1"/>
        <v>37873.57</v>
      </c>
      <c r="Q14" s="275">
        <v>0.2</v>
      </c>
      <c r="R14" s="274">
        <f t="shared" si="2"/>
        <v>28405.18</v>
      </c>
      <c r="S14" s="281">
        <v>0.15</v>
      </c>
      <c r="T14" s="274">
        <f>ROUND((D14*U14),2)-0.01</f>
        <v>28405.17</v>
      </c>
      <c r="U14" s="281">
        <v>0.15</v>
      </c>
      <c r="V14" s="277">
        <f t="shared" si="7"/>
        <v>0</v>
      </c>
      <c r="W14" s="279"/>
      <c r="X14" s="277">
        <f t="shared" si="8"/>
        <v>0</v>
      </c>
      <c r="Y14" s="279"/>
      <c r="Z14" s="277">
        <f t="shared" si="9"/>
        <v>0</v>
      </c>
      <c r="AA14" s="279"/>
      <c r="AB14" s="277">
        <f t="shared" si="10"/>
        <v>0</v>
      </c>
      <c r="AC14" s="278"/>
      <c r="AD14" s="72"/>
      <c r="AE14" s="245">
        <f t="shared" si="11"/>
        <v>189367.86</v>
      </c>
      <c r="AF14" s="235">
        <f t="shared" si="3"/>
        <v>189367.86</v>
      </c>
    </row>
    <row r="15" spans="1:32" ht="27" customHeight="1" x14ac:dyDescent="0.2">
      <c r="A15" s="29"/>
      <c r="B15" s="273" t="s">
        <v>13</v>
      </c>
      <c r="C15" s="309" t="s">
        <v>98</v>
      </c>
      <c r="D15" s="310">
        <f>PLANILHA!I594</f>
        <v>38091.22</v>
      </c>
      <c r="E15" s="311">
        <f t="shared" si="0"/>
        <v>6.3700000000000007E-2</v>
      </c>
      <c r="F15" s="277">
        <f t="shared" si="12"/>
        <v>0</v>
      </c>
      <c r="G15" s="279"/>
      <c r="H15" s="277">
        <f t="shared" si="4"/>
        <v>0</v>
      </c>
      <c r="I15" s="279"/>
      <c r="J15" s="277">
        <f t="shared" si="13"/>
        <v>0</v>
      </c>
      <c r="K15" s="276"/>
      <c r="L15" s="274">
        <f t="shared" si="14"/>
        <v>7618.24</v>
      </c>
      <c r="M15" s="281">
        <v>0.2</v>
      </c>
      <c r="N15" s="274">
        <f t="shared" si="5"/>
        <v>7618.24</v>
      </c>
      <c r="O15" s="275">
        <v>0.2</v>
      </c>
      <c r="P15" s="274">
        <f t="shared" si="1"/>
        <v>11427.37</v>
      </c>
      <c r="Q15" s="275">
        <v>0.3</v>
      </c>
      <c r="R15" s="274">
        <f t="shared" si="2"/>
        <v>5713.68</v>
      </c>
      <c r="S15" s="281">
        <v>0.15</v>
      </c>
      <c r="T15" s="274">
        <f t="shared" si="6"/>
        <v>3809.12</v>
      </c>
      <c r="U15" s="281">
        <v>0.1</v>
      </c>
      <c r="V15" s="274">
        <f>ROUND((D15*W15),2)+0.01</f>
        <v>1904.57</v>
      </c>
      <c r="W15" s="281">
        <v>0.05</v>
      </c>
      <c r="X15" s="277">
        <f t="shared" si="8"/>
        <v>0</v>
      </c>
      <c r="Y15" s="279"/>
      <c r="Z15" s="277">
        <f t="shared" si="9"/>
        <v>0</v>
      </c>
      <c r="AA15" s="279"/>
      <c r="AB15" s="277">
        <f t="shared" si="10"/>
        <v>0</v>
      </c>
      <c r="AC15" s="278"/>
      <c r="AD15" s="72"/>
      <c r="AE15" s="245">
        <f t="shared" si="11"/>
        <v>38091.22</v>
      </c>
      <c r="AF15" s="235">
        <f t="shared" si="3"/>
        <v>38091.22</v>
      </c>
    </row>
    <row r="16" spans="1:32" ht="27" customHeight="1" x14ac:dyDescent="0.2">
      <c r="A16" s="29"/>
      <c r="B16" s="273" t="s">
        <v>14</v>
      </c>
      <c r="C16" s="309" t="s">
        <v>71</v>
      </c>
      <c r="D16" s="310">
        <f>PLANILHA!I621</f>
        <v>91921.78</v>
      </c>
      <c r="E16" s="311">
        <f t="shared" si="0"/>
        <v>0.1537</v>
      </c>
      <c r="F16" s="277">
        <f t="shared" si="12"/>
        <v>0</v>
      </c>
      <c r="G16" s="279"/>
      <c r="H16" s="277">
        <f t="shared" si="4"/>
        <v>0</v>
      </c>
      <c r="I16" s="279"/>
      <c r="J16" s="277">
        <f t="shared" si="13"/>
        <v>0</v>
      </c>
      <c r="K16" s="276"/>
      <c r="L16" s="274">
        <f t="shared" si="14"/>
        <v>27576.53</v>
      </c>
      <c r="M16" s="281">
        <v>0.3</v>
      </c>
      <c r="N16" s="274">
        <f t="shared" si="5"/>
        <v>27576.53</v>
      </c>
      <c r="O16" s="275">
        <v>0.3</v>
      </c>
      <c r="P16" s="274">
        <f t="shared" si="1"/>
        <v>18384.36</v>
      </c>
      <c r="Q16" s="275">
        <v>0.2</v>
      </c>
      <c r="R16" s="274">
        <f t="shared" si="2"/>
        <v>9192.18</v>
      </c>
      <c r="S16" s="281">
        <v>0.1</v>
      </c>
      <c r="T16" s="274">
        <f t="shared" si="6"/>
        <v>9192.18</v>
      </c>
      <c r="U16" s="281">
        <v>0.1</v>
      </c>
      <c r="V16" s="277">
        <f t="shared" si="7"/>
        <v>0</v>
      </c>
      <c r="W16" s="279"/>
      <c r="X16" s="277">
        <f t="shared" si="8"/>
        <v>0</v>
      </c>
      <c r="Y16" s="279"/>
      <c r="Z16" s="277">
        <f t="shared" si="9"/>
        <v>0</v>
      </c>
      <c r="AA16" s="279"/>
      <c r="AB16" s="277">
        <f t="shared" si="10"/>
        <v>0</v>
      </c>
      <c r="AC16" s="278"/>
      <c r="AD16" s="72"/>
      <c r="AE16" s="295">
        <f t="shared" si="11"/>
        <v>91921.78</v>
      </c>
      <c r="AF16" s="235">
        <f t="shared" si="3"/>
        <v>91921.78</v>
      </c>
    </row>
    <row r="17" spans="1:32" ht="27" customHeight="1" x14ac:dyDescent="0.2">
      <c r="A17" s="29"/>
      <c r="B17" s="273" t="s">
        <v>15</v>
      </c>
      <c r="C17" s="309" t="s">
        <v>300</v>
      </c>
      <c r="D17" s="310">
        <f>PLANILHA!I684</f>
        <v>62733.38</v>
      </c>
      <c r="E17" s="311">
        <f t="shared" si="0"/>
        <v>0.10489999999999999</v>
      </c>
      <c r="F17" s="277">
        <f t="shared" si="12"/>
        <v>0</v>
      </c>
      <c r="G17" s="279"/>
      <c r="H17" s="277">
        <f t="shared" si="4"/>
        <v>0</v>
      </c>
      <c r="I17" s="279"/>
      <c r="J17" s="274">
        <f>ROUND((K17*D17),2)-0.02</f>
        <v>3136.65</v>
      </c>
      <c r="K17" s="280">
        <v>0.05</v>
      </c>
      <c r="L17" s="274">
        <f t="shared" si="14"/>
        <v>6273.34</v>
      </c>
      <c r="M17" s="281">
        <v>0.1</v>
      </c>
      <c r="N17" s="274">
        <f t="shared" si="5"/>
        <v>6273.34</v>
      </c>
      <c r="O17" s="275">
        <v>0.1</v>
      </c>
      <c r="P17" s="274">
        <f t="shared" si="1"/>
        <v>6273.34</v>
      </c>
      <c r="Q17" s="275">
        <v>0.1</v>
      </c>
      <c r="R17" s="274">
        <f t="shared" si="2"/>
        <v>6273.34</v>
      </c>
      <c r="S17" s="281">
        <v>0.1</v>
      </c>
      <c r="T17" s="274">
        <f t="shared" si="6"/>
        <v>6273.34</v>
      </c>
      <c r="U17" s="281">
        <v>0.1</v>
      </c>
      <c r="V17" s="274">
        <f t="shared" si="7"/>
        <v>9410.01</v>
      </c>
      <c r="W17" s="281">
        <v>0.15</v>
      </c>
      <c r="X17" s="274">
        <f t="shared" si="8"/>
        <v>9410.01</v>
      </c>
      <c r="Y17" s="281">
        <v>0.15</v>
      </c>
      <c r="Z17" s="274">
        <f t="shared" si="9"/>
        <v>9410.01</v>
      </c>
      <c r="AA17" s="281">
        <v>0.15</v>
      </c>
      <c r="AB17" s="277">
        <f t="shared" si="10"/>
        <v>0</v>
      </c>
      <c r="AC17" s="278"/>
      <c r="AD17" s="72"/>
      <c r="AE17" s="245">
        <f t="shared" si="11"/>
        <v>62733.38</v>
      </c>
      <c r="AF17" s="235">
        <f>D17</f>
        <v>62733.38</v>
      </c>
    </row>
    <row r="18" spans="1:32" ht="27" customHeight="1" x14ac:dyDescent="0.2">
      <c r="A18" s="29"/>
      <c r="B18" s="273" t="s">
        <v>47</v>
      </c>
      <c r="C18" s="309" t="s">
        <v>99</v>
      </c>
      <c r="D18" s="310">
        <f>PLANILHA!I697</f>
        <v>3643.48</v>
      </c>
      <c r="E18" s="311">
        <f t="shared" si="0"/>
        <v>6.1000000000000004E-3</v>
      </c>
      <c r="F18" s="277">
        <f t="shared" si="12"/>
        <v>0</v>
      </c>
      <c r="G18" s="279"/>
      <c r="H18" s="277">
        <f t="shared" si="4"/>
        <v>0</v>
      </c>
      <c r="I18" s="279"/>
      <c r="J18" s="277">
        <f t="shared" si="13"/>
        <v>0</v>
      </c>
      <c r="K18" s="276"/>
      <c r="L18" s="274">
        <f t="shared" si="14"/>
        <v>546.52</v>
      </c>
      <c r="M18" s="281">
        <v>0.15</v>
      </c>
      <c r="N18" s="274">
        <f t="shared" si="5"/>
        <v>728.7</v>
      </c>
      <c r="O18" s="275">
        <v>0.2</v>
      </c>
      <c r="P18" s="277">
        <f t="shared" si="1"/>
        <v>0</v>
      </c>
      <c r="Q18" s="278"/>
      <c r="R18" s="277">
        <f t="shared" si="2"/>
        <v>0</v>
      </c>
      <c r="S18" s="279"/>
      <c r="T18" s="274">
        <f t="shared" si="6"/>
        <v>1457.39</v>
      </c>
      <c r="U18" s="281">
        <v>0.4</v>
      </c>
      <c r="V18" s="274">
        <f t="shared" si="7"/>
        <v>546.52</v>
      </c>
      <c r="W18" s="281">
        <v>0.15</v>
      </c>
      <c r="X18" s="274">
        <f t="shared" si="8"/>
        <v>364.35</v>
      </c>
      <c r="Y18" s="281">
        <v>0.1</v>
      </c>
      <c r="Z18" s="277">
        <f t="shared" si="9"/>
        <v>0</v>
      </c>
      <c r="AA18" s="279"/>
      <c r="AB18" s="277">
        <f t="shared" si="10"/>
        <v>0</v>
      </c>
      <c r="AC18" s="278"/>
      <c r="AD18" s="72"/>
      <c r="AE18" s="295">
        <f t="shared" si="11"/>
        <v>3643.48</v>
      </c>
      <c r="AF18" s="235">
        <f t="shared" si="3"/>
        <v>3643.48</v>
      </c>
    </row>
    <row r="19" spans="1:32" ht="27" customHeight="1" x14ac:dyDescent="0.2">
      <c r="A19" s="29"/>
      <c r="B19" s="273" t="s">
        <v>48</v>
      </c>
      <c r="C19" s="309" t="s">
        <v>91</v>
      </c>
      <c r="D19" s="310">
        <f>PLANILHA!I710</f>
        <v>10790.77</v>
      </c>
      <c r="E19" s="311">
        <f t="shared" si="0"/>
        <v>1.7999999999999999E-2</v>
      </c>
      <c r="F19" s="277">
        <f t="shared" si="12"/>
        <v>0</v>
      </c>
      <c r="G19" s="279"/>
      <c r="H19" s="277">
        <f t="shared" si="4"/>
        <v>0</v>
      </c>
      <c r="I19" s="279"/>
      <c r="J19" s="277">
        <f t="shared" si="13"/>
        <v>0</v>
      </c>
      <c r="K19" s="276"/>
      <c r="L19" s="277">
        <f t="shared" si="14"/>
        <v>0</v>
      </c>
      <c r="M19" s="279"/>
      <c r="N19" s="274">
        <f>ROUND((D19*O19),2)+0.01</f>
        <v>1618.63</v>
      </c>
      <c r="O19" s="275">
        <v>0.15</v>
      </c>
      <c r="P19" s="274">
        <f t="shared" si="1"/>
        <v>2697.69</v>
      </c>
      <c r="Q19" s="275">
        <v>0.25</v>
      </c>
      <c r="R19" s="274">
        <f t="shared" si="2"/>
        <v>2158.15</v>
      </c>
      <c r="S19" s="281">
        <v>0.2</v>
      </c>
      <c r="T19" s="274">
        <f t="shared" si="6"/>
        <v>2158.15</v>
      </c>
      <c r="U19" s="281">
        <v>0.2</v>
      </c>
      <c r="V19" s="274">
        <f t="shared" si="7"/>
        <v>2158.15</v>
      </c>
      <c r="W19" s="281">
        <v>0.2</v>
      </c>
      <c r="X19" s="277">
        <f t="shared" si="8"/>
        <v>0</v>
      </c>
      <c r="Y19" s="279"/>
      <c r="Z19" s="277">
        <f t="shared" si="9"/>
        <v>0</v>
      </c>
      <c r="AA19" s="279"/>
      <c r="AB19" s="277">
        <f t="shared" si="10"/>
        <v>0</v>
      </c>
      <c r="AC19" s="278"/>
      <c r="AD19" s="72"/>
      <c r="AE19" s="245">
        <f>SUM(F19,H19,J19,L19,N19,P19,R19,T19,V19,X19,Z19,AB19)</f>
        <v>10790.77</v>
      </c>
      <c r="AF19" s="235">
        <f t="shared" si="3"/>
        <v>10790.77</v>
      </c>
    </row>
    <row r="20" spans="1:32" ht="27" customHeight="1" x14ac:dyDescent="0.2">
      <c r="A20" s="29"/>
      <c r="B20" s="273" t="s">
        <v>49</v>
      </c>
      <c r="C20" s="309" t="s">
        <v>87</v>
      </c>
      <c r="D20" s="310">
        <f>PLANILHA!I738</f>
        <v>10120.08</v>
      </c>
      <c r="E20" s="311">
        <f t="shared" si="0"/>
        <v>1.6899999999999998E-2</v>
      </c>
      <c r="F20" s="277">
        <f t="shared" si="12"/>
        <v>0</v>
      </c>
      <c r="G20" s="279"/>
      <c r="H20" s="277">
        <f t="shared" si="4"/>
        <v>0</v>
      </c>
      <c r="I20" s="279"/>
      <c r="J20" s="277">
        <f t="shared" si="13"/>
        <v>0</v>
      </c>
      <c r="K20" s="276"/>
      <c r="L20" s="277">
        <f t="shared" si="14"/>
        <v>0</v>
      </c>
      <c r="M20" s="279"/>
      <c r="N20" s="274">
        <f>ROUND((D20*O20),2)-0.01</f>
        <v>1518</v>
      </c>
      <c r="O20" s="275">
        <v>0.15</v>
      </c>
      <c r="P20" s="274">
        <f t="shared" si="1"/>
        <v>2530.02</v>
      </c>
      <c r="Q20" s="275">
        <v>0.25</v>
      </c>
      <c r="R20" s="274">
        <f t="shared" si="2"/>
        <v>2024.02</v>
      </c>
      <c r="S20" s="281">
        <v>0.2</v>
      </c>
      <c r="T20" s="274">
        <f t="shared" si="6"/>
        <v>2024.02</v>
      </c>
      <c r="U20" s="281">
        <v>0.2</v>
      </c>
      <c r="V20" s="274">
        <f t="shared" si="7"/>
        <v>2024.02</v>
      </c>
      <c r="W20" s="281">
        <v>0.2</v>
      </c>
      <c r="X20" s="277">
        <f t="shared" si="8"/>
        <v>0</v>
      </c>
      <c r="Y20" s="279"/>
      <c r="Z20" s="277">
        <f t="shared" si="9"/>
        <v>0</v>
      </c>
      <c r="AA20" s="279"/>
      <c r="AB20" s="277">
        <f t="shared" si="10"/>
        <v>0</v>
      </c>
      <c r="AC20" s="278"/>
      <c r="AD20" s="72"/>
      <c r="AE20" s="245">
        <f t="shared" si="11"/>
        <v>10120.08</v>
      </c>
      <c r="AF20" s="235">
        <f t="shared" si="3"/>
        <v>10120.08</v>
      </c>
    </row>
    <row r="21" spans="1:32" ht="27" customHeight="1" x14ac:dyDescent="0.2">
      <c r="A21" s="29"/>
      <c r="B21" s="273" t="s">
        <v>50</v>
      </c>
      <c r="C21" s="309" t="s">
        <v>111</v>
      </c>
      <c r="D21" s="310">
        <f>PLANILHA!I766</f>
        <v>27370.02</v>
      </c>
      <c r="E21" s="311">
        <f t="shared" si="0"/>
        <v>4.58E-2</v>
      </c>
      <c r="F21" s="277">
        <f t="shared" si="12"/>
        <v>0</v>
      </c>
      <c r="G21" s="279"/>
      <c r="H21" s="277">
        <f t="shared" si="4"/>
        <v>0</v>
      </c>
      <c r="I21" s="279"/>
      <c r="J21" s="277">
        <f t="shared" si="13"/>
        <v>0</v>
      </c>
      <c r="K21" s="276"/>
      <c r="L21" s="277">
        <f t="shared" si="14"/>
        <v>0</v>
      </c>
      <c r="M21" s="279"/>
      <c r="N21" s="277">
        <f t="shared" si="5"/>
        <v>0</v>
      </c>
      <c r="O21" s="278"/>
      <c r="P21" s="277">
        <f t="shared" si="1"/>
        <v>0</v>
      </c>
      <c r="Q21" s="278"/>
      <c r="R21" s="277">
        <f t="shared" si="2"/>
        <v>0</v>
      </c>
      <c r="S21" s="279"/>
      <c r="T21" s="274">
        <f t="shared" si="6"/>
        <v>4105.5</v>
      </c>
      <c r="U21" s="281">
        <v>0.15</v>
      </c>
      <c r="V21" s="274">
        <f t="shared" si="7"/>
        <v>6842.51</v>
      </c>
      <c r="W21" s="281">
        <v>0.25</v>
      </c>
      <c r="X21" s="274">
        <f t="shared" si="8"/>
        <v>8211.01</v>
      </c>
      <c r="Y21" s="281">
        <v>0.3</v>
      </c>
      <c r="Z21" s="274">
        <f t="shared" si="9"/>
        <v>5474</v>
      </c>
      <c r="AA21" s="281">
        <v>0.2</v>
      </c>
      <c r="AB21" s="274">
        <f t="shared" si="10"/>
        <v>2737</v>
      </c>
      <c r="AC21" s="275">
        <v>0.1</v>
      </c>
      <c r="AD21" s="72"/>
      <c r="AE21" s="295">
        <f t="shared" si="11"/>
        <v>27370.02</v>
      </c>
      <c r="AF21" s="235">
        <f t="shared" si="3"/>
        <v>27370.02</v>
      </c>
    </row>
    <row r="22" spans="1:32" ht="27" customHeight="1" x14ac:dyDescent="0.2">
      <c r="A22" s="29"/>
      <c r="B22" s="273" t="s">
        <v>344</v>
      </c>
      <c r="C22" s="309" t="s">
        <v>342</v>
      </c>
      <c r="D22" s="310">
        <f>PLANILHA!I819</f>
        <v>47993.599999999999</v>
      </c>
      <c r="E22" s="311">
        <f t="shared" si="0"/>
        <v>8.0199999999999994E-2</v>
      </c>
      <c r="F22" s="274">
        <f>ROUND((G22*D22),2)</f>
        <v>11998.4</v>
      </c>
      <c r="G22" s="281">
        <v>0.25</v>
      </c>
      <c r="H22" s="274">
        <f t="shared" si="4"/>
        <v>11998.4</v>
      </c>
      <c r="I22" s="281">
        <v>0.25</v>
      </c>
      <c r="J22" s="274">
        <f t="shared" si="13"/>
        <v>19197.439999999999</v>
      </c>
      <c r="K22" s="280">
        <v>0.4</v>
      </c>
      <c r="L22" s="274">
        <f t="shared" si="14"/>
        <v>4799.3599999999997</v>
      </c>
      <c r="M22" s="281">
        <v>0.1</v>
      </c>
      <c r="N22" s="277">
        <f t="shared" si="5"/>
        <v>0</v>
      </c>
      <c r="O22" s="278"/>
      <c r="P22" s="277">
        <f t="shared" si="1"/>
        <v>0</v>
      </c>
      <c r="Q22" s="278"/>
      <c r="R22" s="277">
        <f t="shared" si="2"/>
        <v>0</v>
      </c>
      <c r="S22" s="279"/>
      <c r="T22" s="277">
        <f t="shared" si="6"/>
        <v>0</v>
      </c>
      <c r="U22" s="279"/>
      <c r="V22" s="277">
        <f t="shared" si="7"/>
        <v>0</v>
      </c>
      <c r="W22" s="279"/>
      <c r="X22" s="277">
        <f t="shared" si="8"/>
        <v>0</v>
      </c>
      <c r="Y22" s="279"/>
      <c r="Z22" s="277">
        <f t="shared" si="9"/>
        <v>0</v>
      </c>
      <c r="AA22" s="279"/>
      <c r="AB22" s="277">
        <f t="shared" si="10"/>
        <v>0</v>
      </c>
      <c r="AC22" s="278"/>
      <c r="AD22" s="72"/>
      <c r="AE22" s="295">
        <f>SUM(F22,H22,J22,L22,N22,P22,R22,T22,V22,X22,Z22,AB22)</f>
        <v>47993.599999999999</v>
      </c>
      <c r="AF22" s="235">
        <f t="shared" si="3"/>
        <v>47993.599999999999</v>
      </c>
    </row>
    <row r="23" spans="1:32" ht="27" customHeight="1" x14ac:dyDescent="0.2">
      <c r="A23" s="29"/>
      <c r="B23" s="273" t="s">
        <v>345</v>
      </c>
      <c r="C23" s="309" t="s">
        <v>44</v>
      </c>
      <c r="D23" s="310">
        <f>PLANILHA!I827</f>
        <v>464.57</v>
      </c>
      <c r="E23" s="311">
        <f t="shared" si="0"/>
        <v>8.0000000000000004E-4</v>
      </c>
      <c r="F23" s="277">
        <f t="shared" si="12"/>
        <v>0</v>
      </c>
      <c r="G23" s="279"/>
      <c r="H23" s="277">
        <f t="shared" si="4"/>
        <v>0</v>
      </c>
      <c r="I23" s="279"/>
      <c r="J23" s="277">
        <f t="shared" si="13"/>
        <v>0</v>
      </c>
      <c r="K23" s="276"/>
      <c r="L23" s="277">
        <f t="shared" si="14"/>
        <v>0</v>
      </c>
      <c r="M23" s="279"/>
      <c r="N23" s="277">
        <f t="shared" si="5"/>
        <v>0</v>
      </c>
      <c r="O23" s="278"/>
      <c r="P23" s="277">
        <f t="shared" si="1"/>
        <v>0</v>
      </c>
      <c r="Q23" s="278"/>
      <c r="R23" s="277">
        <f t="shared" si="2"/>
        <v>0</v>
      </c>
      <c r="S23" s="279"/>
      <c r="T23" s="277">
        <f t="shared" si="6"/>
        <v>0</v>
      </c>
      <c r="U23" s="279"/>
      <c r="V23" s="277">
        <f t="shared" si="7"/>
        <v>0</v>
      </c>
      <c r="W23" s="279"/>
      <c r="X23" s="277">
        <f t="shared" si="8"/>
        <v>0</v>
      </c>
      <c r="Y23" s="279"/>
      <c r="Z23" s="277">
        <f t="shared" si="9"/>
        <v>0</v>
      </c>
      <c r="AA23" s="279"/>
      <c r="AB23" s="274">
        <f t="shared" si="10"/>
        <v>464.57</v>
      </c>
      <c r="AC23" s="275">
        <v>1</v>
      </c>
      <c r="AD23" s="72"/>
      <c r="AE23" s="295">
        <f t="shared" si="11"/>
        <v>464.57</v>
      </c>
      <c r="AF23" s="235">
        <f t="shared" si="3"/>
        <v>464.57</v>
      </c>
    </row>
    <row r="24" spans="1:32" ht="27" customHeight="1" thickBot="1" x14ac:dyDescent="0.25">
      <c r="A24" s="29"/>
      <c r="B24" s="273" t="s">
        <v>346</v>
      </c>
      <c r="C24" s="309" t="s">
        <v>72</v>
      </c>
      <c r="D24" s="312">
        <f>PLANILHA!I836</f>
        <v>4005.97</v>
      </c>
      <c r="E24" s="313">
        <f t="shared" si="0"/>
        <v>6.7000000000000002E-3</v>
      </c>
      <c r="F24" s="302">
        <f t="shared" si="12"/>
        <v>0</v>
      </c>
      <c r="G24" s="307"/>
      <c r="H24" s="302">
        <f t="shared" si="4"/>
        <v>0</v>
      </c>
      <c r="I24" s="307"/>
      <c r="J24" s="302">
        <f t="shared" si="13"/>
        <v>0</v>
      </c>
      <c r="K24" s="304"/>
      <c r="L24" s="302">
        <f t="shared" si="14"/>
        <v>0</v>
      </c>
      <c r="M24" s="307"/>
      <c r="N24" s="302">
        <f t="shared" si="5"/>
        <v>0</v>
      </c>
      <c r="O24" s="301"/>
      <c r="P24" s="302">
        <f t="shared" si="1"/>
        <v>0</v>
      </c>
      <c r="Q24" s="278"/>
      <c r="R24" s="302">
        <f t="shared" si="2"/>
        <v>0</v>
      </c>
      <c r="S24" s="279"/>
      <c r="T24" s="302">
        <f t="shared" si="6"/>
        <v>0</v>
      </c>
      <c r="U24" s="307"/>
      <c r="V24" s="300">
        <f t="shared" si="7"/>
        <v>200.3</v>
      </c>
      <c r="W24" s="315">
        <v>0.05</v>
      </c>
      <c r="X24" s="302">
        <f t="shared" si="8"/>
        <v>0</v>
      </c>
      <c r="Y24" s="307"/>
      <c r="Z24" s="302">
        <f t="shared" si="9"/>
        <v>0</v>
      </c>
      <c r="AA24" s="307"/>
      <c r="AB24" s="300">
        <f t="shared" si="10"/>
        <v>3805.67</v>
      </c>
      <c r="AC24" s="314">
        <v>0.95</v>
      </c>
      <c r="AD24" s="72"/>
      <c r="AE24" s="295">
        <f t="shared" si="11"/>
        <v>4005.97</v>
      </c>
      <c r="AF24" s="235">
        <f>D24</f>
        <v>4005.97</v>
      </c>
    </row>
    <row r="25" spans="1:32" ht="18" customHeight="1" x14ac:dyDescent="0.2">
      <c r="A25" s="29"/>
      <c r="B25" s="355" t="s">
        <v>5</v>
      </c>
      <c r="C25" s="356"/>
      <c r="D25" s="282">
        <f>SUM(D10:D24)</f>
        <v>598129.88</v>
      </c>
      <c r="E25" s="283">
        <f>SUM(E10:E24)</f>
        <v>1</v>
      </c>
      <c r="F25" s="298">
        <f>SUM(F10:F24)</f>
        <v>25312.78</v>
      </c>
      <c r="G25" s="299">
        <f>F25/$D$25</f>
        <v>4.2299999999999997E-2</v>
      </c>
      <c r="H25" s="298">
        <f>SUM(H10:H24)</f>
        <v>36456.629999999997</v>
      </c>
      <c r="I25" s="305">
        <f>H25/$D$25</f>
        <v>6.0999999999999999E-2</v>
      </c>
      <c r="J25" s="303">
        <f>SUM(J10:J24)</f>
        <v>46997.84</v>
      </c>
      <c r="K25" s="299">
        <f>J25/$D$25</f>
        <v>7.8600000000000003E-2</v>
      </c>
      <c r="L25" s="298">
        <f>SUM(L10:L24)</f>
        <v>118819.71</v>
      </c>
      <c r="M25" s="305">
        <f>L25/$D$25</f>
        <v>0.19869999999999999</v>
      </c>
      <c r="N25" s="303">
        <f>SUM(N10:N24)</f>
        <v>111207.4</v>
      </c>
      <c r="O25" s="299">
        <f>N25/$D$25</f>
        <v>0.18590000000000001</v>
      </c>
      <c r="P25" s="282">
        <f>SUM(P10:P24)</f>
        <v>85181.4</v>
      </c>
      <c r="Q25" s="284">
        <f>P25/$D$25</f>
        <v>0.1424</v>
      </c>
      <c r="R25" s="282">
        <f>SUM(R10:R24)</f>
        <v>53766.55</v>
      </c>
      <c r="S25" s="284">
        <f>R25/$D$25</f>
        <v>8.9899999999999994E-2</v>
      </c>
      <c r="T25" s="298">
        <f>SUM(T10:T24)</f>
        <v>57424.87</v>
      </c>
      <c r="U25" s="305">
        <f>T25/$D$25</f>
        <v>9.6000000000000002E-2</v>
      </c>
      <c r="V25" s="298">
        <f>SUM(V10:V24)</f>
        <v>23086.080000000002</v>
      </c>
      <c r="W25" s="305">
        <f>V25/$D$25</f>
        <v>3.8600000000000002E-2</v>
      </c>
      <c r="X25" s="298">
        <f>SUM(X10:X24)</f>
        <v>17985.37</v>
      </c>
      <c r="Y25" s="305">
        <f>X25/$D$25</f>
        <v>3.0099999999999998E-2</v>
      </c>
      <c r="Z25" s="298">
        <f>SUM(Z10:Z24)</f>
        <v>14884.01</v>
      </c>
      <c r="AA25" s="305">
        <f>Z25/$D$25</f>
        <v>2.4899999999999999E-2</v>
      </c>
      <c r="AB25" s="298">
        <f>SUM(AB10:AB24)</f>
        <v>7007.24</v>
      </c>
      <c r="AC25" s="305">
        <f>AB25/$D$25</f>
        <v>1.17E-2</v>
      </c>
      <c r="AE25" s="295">
        <f>SUM(AE10:AE24)</f>
        <v>598129.88</v>
      </c>
      <c r="AF25" s="235">
        <f>SUM(AF10:AF24)</f>
        <v>598129.88</v>
      </c>
    </row>
    <row r="26" spans="1:32" ht="18" customHeight="1" thickBot="1" x14ac:dyDescent="0.25">
      <c r="A26" s="29"/>
      <c r="B26" s="349" t="s">
        <v>27</v>
      </c>
      <c r="C26" s="350"/>
      <c r="D26" s="285">
        <f>D25</f>
        <v>598129.88</v>
      </c>
      <c r="E26" s="286">
        <f>E25</f>
        <v>1</v>
      </c>
      <c r="F26" s="285">
        <f>F25</f>
        <v>25312.78</v>
      </c>
      <c r="G26" s="287">
        <f>F26/$D$26</f>
        <v>4.2299999999999997E-2</v>
      </c>
      <c r="H26" s="285">
        <f>F26+H25</f>
        <v>61769.41</v>
      </c>
      <c r="I26" s="288">
        <f>H26/$D$26</f>
        <v>0.1033</v>
      </c>
      <c r="J26" s="289">
        <f>H26+J25</f>
        <v>108767.25</v>
      </c>
      <c r="K26" s="287">
        <f>J26/$D$26</f>
        <v>0.18179999999999999</v>
      </c>
      <c r="L26" s="285">
        <f>L25+J26</f>
        <v>227586.96</v>
      </c>
      <c r="M26" s="288">
        <f>L26/$D$26</f>
        <v>0.3805</v>
      </c>
      <c r="N26" s="289">
        <f>L26+N25</f>
        <v>338794.36</v>
      </c>
      <c r="O26" s="287">
        <f>N26/$D$26</f>
        <v>0.56640000000000001</v>
      </c>
      <c r="P26" s="285">
        <f>N26+P25</f>
        <v>423975.76</v>
      </c>
      <c r="Q26" s="288">
        <f>P26/$D$26</f>
        <v>0.70879999999999999</v>
      </c>
      <c r="R26" s="285">
        <f>P26+R25</f>
        <v>477742.31</v>
      </c>
      <c r="S26" s="288">
        <f>R26/$D$26</f>
        <v>0.79869999999999997</v>
      </c>
      <c r="T26" s="285">
        <f>R26+T25</f>
        <v>535167.18000000005</v>
      </c>
      <c r="U26" s="288">
        <f>T26/$D$26</f>
        <v>0.89470000000000005</v>
      </c>
      <c r="V26" s="285">
        <f>T26+V25</f>
        <v>558253.26</v>
      </c>
      <c r="W26" s="288">
        <f>V26/$D$26</f>
        <v>0.93330000000000002</v>
      </c>
      <c r="X26" s="285">
        <f>V26+X25</f>
        <v>576238.63</v>
      </c>
      <c r="Y26" s="288">
        <f>X26/$D$26</f>
        <v>0.96340000000000003</v>
      </c>
      <c r="Z26" s="285">
        <f>X26+Z25</f>
        <v>591122.64</v>
      </c>
      <c r="AA26" s="288">
        <f>Z26/$D$26</f>
        <v>0.98829999999999996</v>
      </c>
      <c r="AB26" s="285">
        <f>Z26+AB25</f>
        <v>598129.88</v>
      </c>
      <c r="AC26" s="288">
        <f>AB26/$D$26</f>
        <v>1</v>
      </c>
      <c r="AF26" s="28"/>
    </row>
    <row r="27" spans="1:32" ht="18" customHeight="1" x14ac:dyDescent="0.2">
      <c r="A27" s="29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16"/>
      <c r="W27" s="116"/>
      <c r="X27" s="116"/>
      <c r="Y27" s="116"/>
      <c r="Z27" s="116"/>
      <c r="AA27" s="116"/>
      <c r="AB27" s="116"/>
      <c r="AC27" s="116"/>
    </row>
    <row r="28" spans="1:32" ht="18" customHeight="1" x14ac:dyDescent="0.2">
      <c r="A28" s="29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89"/>
      <c r="W28" s="189"/>
      <c r="X28" s="189"/>
      <c r="Y28" s="189"/>
      <c r="Z28" s="189"/>
      <c r="AA28" s="189"/>
      <c r="AB28" s="189"/>
      <c r="AC28" s="189"/>
      <c r="AE28" t="s">
        <v>122</v>
      </c>
    </row>
    <row r="29" spans="1:32" ht="18" customHeight="1" x14ac:dyDescent="0.2">
      <c r="A29" s="196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198" t="s">
        <v>30</v>
      </c>
      <c r="W29" s="199"/>
      <c r="X29" s="200"/>
      <c r="Y29" s="199"/>
      <c r="Z29" s="201"/>
      <c r="AA29" s="200"/>
      <c r="AB29" s="199"/>
      <c r="AC29" s="201"/>
    </row>
    <row r="30" spans="1:32" ht="18" customHeight="1" x14ac:dyDescent="0.2">
      <c r="A30" s="197"/>
      <c r="B30" s="198"/>
      <c r="C30" s="199"/>
      <c r="D30" s="200"/>
      <c r="E30" s="199"/>
      <c r="F30" s="199"/>
      <c r="G30" s="199"/>
      <c r="H30" s="199"/>
      <c r="I30" s="199"/>
      <c r="J30" s="199"/>
      <c r="K30" s="197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2" t="s">
        <v>79</v>
      </c>
      <c r="W30" s="201"/>
      <c r="X30" s="201"/>
      <c r="Y30" s="201"/>
      <c r="Z30" s="201"/>
      <c r="AA30" s="201"/>
      <c r="AB30" s="201"/>
      <c r="AC30" s="201"/>
    </row>
    <row r="31" spans="1:32" ht="18" customHeight="1" x14ac:dyDescent="0.2">
      <c r="A31" s="201"/>
      <c r="B31" s="202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2" t="s">
        <v>97</v>
      </c>
      <c r="W31" s="201"/>
      <c r="X31" s="201"/>
      <c r="Y31" s="201"/>
      <c r="Z31" s="201"/>
      <c r="AA31" s="201"/>
      <c r="AB31" s="201"/>
      <c r="AC31" s="201"/>
    </row>
    <row r="32" spans="1:32" ht="18" customHeight="1" x14ac:dyDescent="0.2">
      <c r="A32" s="201"/>
      <c r="B32" s="202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</row>
    <row r="33" spans="1:21" ht="18" customHeight="1" x14ac:dyDescent="0.2">
      <c r="A33" s="201"/>
      <c r="B33" s="202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</row>
    <row r="34" spans="1:21" ht="18" customHeight="1" x14ac:dyDescent="0.2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</row>
    <row r="35" spans="1:21" ht="18" customHeight="1" x14ac:dyDescent="0.2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1:21" ht="18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</sheetData>
  <mergeCells count="18">
    <mergeCell ref="V8:W8"/>
    <mergeCell ref="X8:Y8"/>
    <mergeCell ref="Z8:AA8"/>
    <mergeCell ref="AB8:AC8"/>
    <mergeCell ref="F8:G8"/>
    <mergeCell ref="B26:C26"/>
    <mergeCell ref="R8:S8"/>
    <mergeCell ref="T8:U8"/>
    <mergeCell ref="H8:I8"/>
    <mergeCell ref="J8:K8"/>
    <mergeCell ref="L8:M8"/>
    <mergeCell ref="N8:O8"/>
    <mergeCell ref="P8:Q8"/>
    <mergeCell ref="B25:C25"/>
    <mergeCell ref="B8:B9"/>
    <mergeCell ref="C8:C9"/>
    <mergeCell ref="D8:D9"/>
    <mergeCell ref="E8:E9"/>
  </mergeCells>
  <phoneticPr fontId="1" type="noConversion"/>
  <pageMargins left="0.62992125984251968" right="0.62992125984251968" top="0.74803149606299213" bottom="0.74803149606299213" header="0.31496062992125984" footer="0.31496062992125984"/>
  <pageSetup paperSize="9" scale="70" orientation="landscape" verticalDpi="4294967293" r:id="rId1"/>
  <headerFooter>
    <oddFooter>Página &amp;P de &amp;N</oddFooter>
  </headerFooter>
  <ignoredErrors>
    <ignoredError sqref="N20 T14 V15 J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</vt:lpstr>
      <vt:lpstr>CRONOGRAMA 12 MESES</vt:lpstr>
      <vt:lpstr>'CRONOGRAMA 12 MESES'!Area_de_impressao</vt:lpstr>
      <vt:lpstr>PLANILHA!Area_de_impressao</vt:lpstr>
      <vt:lpstr>'CRONOGRAMA 12 MESES'!Titulos_de_impressao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2021-06-29T19:35:20Z</cp:lastPrinted>
  <dcterms:created xsi:type="dcterms:W3CDTF">2000-02-07T18:11:19Z</dcterms:created>
  <dcterms:modified xsi:type="dcterms:W3CDTF">2021-07-09T18:21:45Z</dcterms:modified>
</cp:coreProperties>
</file>